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ilancio" sheetId="1" state="visible" r:id="rId2"/>
    <sheet name="materie prime" sheetId="2" state="visible" r:id="rId3"/>
    <sheet name="ricavi" sheetId="3" state="visible" r:id="rId4"/>
    <sheet name="consumi" sheetId="4" state="visible" r:id="rId5"/>
    <sheet name="personale" sheetId="5" state="visible" r:id="rId6"/>
    <sheet name="beni strumentali" sheetId="6" state="visible" r:id="rId7"/>
    <sheet name="lavorazioni" sheetId="7" state="visible" r:id="rId8"/>
    <sheet name="COSTO TOTALE" sheetId="8" state="visible" r:id="rId9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<sst xmlns="http://schemas.openxmlformats.org/spreadsheetml/2006/main" count="218" uniqueCount="108">
  <si>
    <t xml:space="preserve">CONTO ECONOMICO 2017</t>
  </si>
  <si>
    <t xml:space="preserve">RICAVI</t>
  </si>
  <si>
    <t xml:space="preserve">ricavi di vendita</t>
  </si>
  <si>
    <t xml:space="preserve">rimanenze finali</t>
  </si>
  <si>
    <t xml:space="preserve">COSTI</t>
  </si>
  <si>
    <t xml:space="preserve">rimanenze iniziali</t>
  </si>
  <si>
    <t xml:space="preserve">merci c/ acquisti</t>
  </si>
  <si>
    <t xml:space="preserve">Energia + acqua</t>
  </si>
  <si>
    <t xml:space="preserve">personale</t>
  </si>
  <si>
    <t xml:space="preserve">tovaglie</t>
  </si>
  <si>
    <t xml:space="preserve">ammortamenti</t>
  </si>
  <si>
    <t xml:space="preserve">imposte</t>
  </si>
  <si>
    <t xml:space="preserve">UTILE</t>
  </si>
  <si>
    <t xml:space="preserve">imputazione</t>
  </si>
  <si>
    <t xml:space="preserve">acquisto euro</t>
  </si>
  <si>
    <t xml:space="preserve">misura kg litr</t>
  </si>
  <si>
    <t xml:space="preserve">prezzo medio</t>
  </si>
  <si>
    <t xml:space="preserve">PASTA (1 etto)</t>
  </si>
  <si>
    <t xml:space="preserve">sugo/condimento</t>
  </si>
  <si>
    <t xml:space="preserve">arrosto vitello</t>
  </si>
  <si>
    <t xml:space="preserve">bevande</t>
  </si>
  <si>
    <t xml:space="preserve">insalata</t>
  </si>
  <si>
    <t xml:space="preserve">dolce</t>
  </si>
  <si>
    <t xml:space="preserve">vino</t>
  </si>
  <si>
    <t xml:space="preserve">caffè</t>
  </si>
  <si>
    <t xml:space="preserve">quant. Unitaria</t>
  </si>
  <si>
    <t xml:space="preserve">unità</t>
  </si>
  <si>
    <t xml:space="preserve">costo unitario</t>
  </si>
  <si>
    <t xml:space="preserve">costo totale</t>
  </si>
  <si>
    <t xml:space="preserve">controllo</t>
  </si>
  <si>
    <t xml:space="preserve">farina</t>
  </si>
  <si>
    <t xml:space="preserve">lievito</t>
  </si>
  <si>
    <t xml:space="preserve">carne</t>
  </si>
  <si>
    <t xml:space="preserve">ortaggi/frutta</t>
  </si>
  <si>
    <t xml:space="preserve">formaggio</t>
  </si>
  <si>
    <t xml:space="preserve">acqua</t>
  </si>
  <si>
    <t xml:space="preserve">tot</t>
  </si>
  <si>
    <t xml:space="preserve">CALCOLO RICAVI</t>
  </si>
  <si>
    <t xml:space="preserve">porzioni</t>
  </si>
  <si>
    <t xml:space="preserve">prezzo</t>
  </si>
  <si>
    <t xml:space="preserve">ricavo</t>
  </si>
  <si>
    <t xml:space="preserve">% su ricavi</t>
  </si>
  <si>
    <t xml:space="preserve">pasta</t>
  </si>
  <si>
    <t xml:space="preserve">secondo</t>
  </si>
  <si>
    <t xml:space="preserve">contorno</t>
  </si>
  <si>
    <t xml:space="preserve">caffe</t>
  </si>
  <si>
    <t xml:space="preserve">coperti</t>
  </si>
  <si>
    <t xml:space="preserve">ricavo medio</t>
  </si>
  <si>
    <t xml:space="preserve">CONSUMI</t>
  </si>
  <si>
    <t xml:space="preserve">risc/condiz</t>
  </si>
  <si>
    <t xml:space="preserve">illumina</t>
  </si>
  <si>
    <t xml:space="preserve">cucina</t>
  </si>
  <si>
    <t xml:space="preserve">pulizia</t>
  </si>
  <si>
    <t xml:space="preserve">quantità</t>
  </si>
  <si>
    <t xml:space="preserve">COSTO tot</t>
  </si>
  <si>
    <t xml:space="preserve">consumo</t>
  </si>
  <si>
    <t xml:space="preserve">costo</t>
  </si>
  <si>
    <t xml:space="preserve">verifica</t>
  </si>
  <si>
    <t xml:space="preserve">energia elettrica</t>
  </si>
  <si>
    <t xml:space="preserve">gas</t>
  </si>
  <si>
    <t xml:space="preserve">TOTALI</t>
  </si>
  <si>
    <t xml:space="preserve">PERSONALE</t>
  </si>
  <si>
    <t xml:space="preserve">sala</t>
  </si>
  <si>
    <t xml:space="preserve">amministrazione</t>
  </si>
  <si>
    <t xml:space="preserve">ore</t>
  </si>
  <si>
    <t xml:space="preserve">costo orario</t>
  </si>
  <si>
    <t xml:space="preserve">imputazione costi cucina ai prodotti</t>
  </si>
  <si>
    <t xml:space="preserve">conteggio minuti</t>
  </si>
  <si>
    <t xml:space="preserve">ore X unità</t>
  </si>
  <si>
    <t xml:space="preserve">ore totali</t>
  </si>
  <si>
    <t xml:space="preserve">minuti</t>
  </si>
  <si>
    <t xml:space="preserve">tot </t>
  </si>
  <si>
    <t xml:space="preserve">TOTALE</t>
  </si>
  <si>
    <t xml:space="preserve">tot. Ore</t>
  </si>
  <si>
    <t xml:space="preserve">BENI STRUMENTALI (con imputati i consumi)</t>
  </si>
  <si>
    <t xml:space="preserve">imputazione ore lavoro ai prodotti</t>
  </si>
  <si>
    <t xml:space="preserve">costo/amm.to</t>
  </si>
  <si>
    <t xml:space="preserve">consumo energia kw/mc gas</t>
  </si>
  <si>
    <t xml:space="preserve">ore lavoro</t>
  </si>
  <si>
    <t xml:space="preserve">euro</t>
  </si>
  <si>
    <t xml:space="preserve">scostamento</t>
  </si>
  <si>
    <t xml:space="preserve">impasto</t>
  </si>
  <si>
    <t xml:space="preserve">frigorifero</t>
  </si>
  <si>
    <t xml:space="preserve">forno elettrico</t>
  </si>
  <si>
    <t xml:space="preserve">fuochi a gas</t>
  </si>
  <si>
    <t xml:space="preserve">folletto</t>
  </si>
  <si>
    <t xml:space="preserve">macchina caffè</t>
  </si>
  <si>
    <t xml:space="preserve">materie prime</t>
  </si>
  <si>
    <t xml:space="preserve">manodopera</t>
  </si>
  <si>
    <t xml:space="preserve">macchinari</t>
  </si>
  <si>
    <t xml:space="preserve">costo primo tot</t>
  </si>
  <si>
    <t xml:space="preserve">cost pr. Unitario</t>
  </si>
  <si>
    <t xml:space="preserve">nr. porzioni</t>
  </si>
  <si>
    <t xml:space="preserve">TOT</t>
  </si>
  <si>
    <t xml:space="preserve">servizio sala</t>
  </si>
  <si>
    <t xml:space="preserve">illuminazione</t>
  </si>
  <si>
    <t xml:space="preserve">riscaldamento</t>
  </si>
  <si>
    <t xml:space="preserve">tasse</t>
  </si>
  <si>
    <t xml:space="preserve">costo primo</t>
  </si>
  <si>
    <t xml:space="preserve">base: porzioni</t>
  </si>
  <si>
    <t xml:space="preserve">parti uguali</t>
  </si>
  <si>
    <t xml:space="preserve">base: parti uguali</t>
  </si>
  <si>
    <t xml:space="preserve">Base: ricavo</t>
  </si>
  <si>
    <t xml:space="preserve">totale</t>
  </si>
  <si>
    <t xml:space="preserve">PORZIONI</t>
  </si>
  <si>
    <t xml:space="preserve">RICAVO</t>
  </si>
  <si>
    <t xml:space="preserve">numero</t>
  </si>
  <si>
    <t xml:space="preserve">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</si>
</sst>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#.00"/>
    <numFmt numFmtId="166" formatCode="#,###.000"/>
    <numFmt numFmtId="167" formatCode="#,###.00000"/>
    <numFmt numFmtId="168" formatCode="#,##0"/>
    <numFmt numFmtId="169" formatCode="0.00%"/>
    <numFmt numFmtId="170" formatCode="0.00"/>
    <numFmt numFmtId="171" formatCode="#,##0.00"/>
  </numFmts>
  <fonts count="2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u val="single"/>
      <sz val="10"/>
      <color rgb="FF0000EE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  <font>
      <b val="true"/>
      <sz val="10"/>
      <name val="Arial"/>
      <family val="2"/>
    </font>
    <font>
      <sz val="7"/>
      <name val="Arial"/>
      <family val="2"/>
    </font>
    <font>
      <b val="true"/>
      <sz val="10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 val="true"/>
      <sz val="10"/>
      <color rgb="FF808000"/>
      <name val="Arial"/>
      <family val="2"/>
    </font>
    <font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  <bgColor rgb="FFFAFAD2"/>
      </patternFill>
    </fill>
    <fill>
      <patternFill patternType="solid">
        <fgColor rgb="FFCCFFCC"/>
        <bgColor rgb="FFE0FFFF"/>
      </patternFill>
    </fill>
    <fill>
      <patternFill patternType="solid">
        <fgColor rgb="FFFFCCCC"/>
        <bgColor rgb="FFFFC0CB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E6E6FA"/>
      </patternFill>
    </fill>
    <fill>
      <patternFill patternType="solid">
        <fgColor rgb="FFF0E68C"/>
        <bgColor rgb="FFEEE8AA"/>
      </patternFill>
    </fill>
    <fill>
      <patternFill patternType="solid">
        <fgColor rgb="FFFFEFD5"/>
        <bgColor rgb="FFFFEBCD"/>
      </patternFill>
    </fill>
    <fill>
      <patternFill patternType="solid">
        <fgColor rgb="FFE6E6FA"/>
        <bgColor rgb="FFDDDDDD"/>
      </patternFill>
    </fill>
    <fill>
      <patternFill patternType="solid">
        <fgColor rgb="FFFFFF00"/>
        <bgColor rgb="FFADFF2F"/>
      </patternFill>
    </fill>
    <fill>
      <patternFill patternType="solid">
        <fgColor rgb="FFD8BFD8"/>
        <bgColor rgb="FFFFC0CB"/>
      </patternFill>
    </fill>
    <fill>
      <patternFill patternType="solid">
        <fgColor rgb="FF9ACD32"/>
        <bgColor rgb="FFADFF2F"/>
      </patternFill>
    </fill>
    <fill>
      <patternFill patternType="solid">
        <fgColor rgb="FFFAFAD2"/>
        <bgColor rgb="FFFFFFCC"/>
      </patternFill>
    </fill>
    <fill>
      <patternFill patternType="solid">
        <fgColor rgb="FFBA55D3"/>
        <bgColor rgb="FF993366"/>
      </patternFill>
    </fill>
    <fill>
      <patternFill patternType="solid">
        <fgColor rgb="FFF0FFF0"/>
        <bgColor rgb="FFFFFFFF"/>
      </patternFill>
    </fill>
    <fill>
      <patternFill patternType="solid">
        <fgColor rgb="FFFFDAB9"/>
        <bgColor rgb="FFFFDEAD"/>
      </patternFill>
    </fill>
    <fill>
      <patternFill patternType="solid">
        <fgColor rgb="FF98FB98"/>
        <bgColor rgb="FFCCFFCC"/>
      </patternFill>
    </fill>
    <fill>
      <patternFill patternType="solid">
        <fgColor rgb="FFFFEBCD"/>
        <bgColor rgb="FFFFEFD5"/>
      </patternFill>
    </fill>
    <fill>
      <patternFill patternType="solid">
        <fgColor rgb="FFE0FFFF"/>
        <bgColor rgb="FFF0FFF0"/>
      </patternFill>
    </fill>
    <fill>
      <patternFill patternType="solid">
        <fgColor rgb="FFADFF2F"/>
        <bgColor rgb="FF98FB98"/>
      </patternFill>
    </fill>
    <fill>
      <patternFill patternType="solid">
        <fgColor rgb="FFEEE8AA"/>
        <bgColor rgb="FFF5DEB3"/>
      </patternFill>
    </fill>
    <fill>
      <patternFill patternType="solid">
        <fgColor rgb="FFFFDEAD"/>
        <bgColor rgb="FFFFDAB9"/>
      </patternFill>
    </fill>
    <fill>
      <patternFill patternType="solid">
        <fgColor rgb="FFF5DEB3"/>
        <bgColor rgb="FFFFDEAD"/>
      </patternFill>
    </fill>
    <fill>
      <patternFill patternType="solid">
        <fgColor rgb="FFFFC0CB"/>
        <bgColor rgb="FFFFCC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1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1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1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1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2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0" fillId="2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2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1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1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21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21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6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808000"/>
      <rgbColor rgb="FF800080"/>
      <rgbColor rgb="FF008080"/>
      <rgbColor rgb="FFD8BFD8"/>
      <rgbColor rgb="FF808080"/>
      <rgbColor rgb="FFEEE8AA"/>
      <rgbColor rgb="FFBA55D3"/>
      <rgbColor rgb="FFFFFFCC"/>
      <rgbColor rgb="FFE0FFFF"/>
      <rgbColor rgb="FF660066"/>
      <rgbColor rgb="FFFFDEAD"/>
      <rgbColor rgb="FF0066CC"/>
      <rgbColor rgb="FFDDDDDD"/>
      <rgbColor rgb="FF000080"/>
      <rgbColor rgb="FFFF00FF"/>
      <rgbColor rgb="FFADFF2F"/>
      <rgbColor rgb="FF00FFFF"/>
      <rgbColor rgb="FF800080"/>
      <rgbColor rgb="FF800000"/>
      <rgbColor rgb="FF008080"/>
      <rgbColor rgb="FF0000FF"/>
      <rgbColor rgb="FF00CCFF"/>
      <rgbColor rgb="FFF0FFF0"/>
      <rgbColor rgb="FFCCFFCC"/>
      <rgbColor rgb="FFFAFAD2"/>
      <rgbColor rgb="FFE6E6FA"/>
      <rgbColor rgb="FFFFC0CB"/>
      <rgbColor rgb="FFFFCCCC"/>
      <rgbColor rgb="FFFFDAB9"/>
      <rgbColor rgb="FF3366FF"/>
      <rgbColor rgb="FF98FB98"/>
      <rgbColor rgb="FF9ACD32"/>
      <rgbColor rgb="FFF0E68C"/>
      <rgbColor rgb="FFFFEBCD"/>
      <rgbColor rgb="FFFFEFD5"/>
      <rgbColor rgb="FF666699"/>
      <rgbColor rgb="FFF5DEB3"/>
      <rgbColor rgb="FF003366"/>
      <rgbColor rgb="FF339966"/>
      <rgbColor rgb="FF003300"/>
      <rgbColor rgb="FF333300"/>
      <rgbColor rgb="FF9966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7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B7" activeCellId="0" sqref="B7"/>
    </sheetView>
  </sheetViews>
  <sheetFormatPr defaultRowHeight="12.8" zeroHeight="false" outlineLevelRow="0" outlineLevelCol="0"/>
  <cols>
    <col collapsed="false" customWidth="true" hidden="false" outlineLevel="0" max="1" min="1" style="0" width="15.83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B2" s="1"/>
    </row>
    <row r="3" customFormat="false" ht="12.8" hidden="false" customHeight="false" outlineLevel="0" collapsed="false">
      <c r="A3" s="0" t="s">
        <v>1</v>
      </c>
      <c r="B3" s="1"/>
      <c r="C3" s="2" t="n">
        <f aca="false">SUM(B4:B5)</f>
        <v>271720</v>
      </c>
    </row>
    <row r="4" customFormat="false" ht="12.8" hidden="false" customHeight="false" outlineLevel="0" collapsed="false">
      <c r="A4" s="0" t="s">
        <v>2</v>
      </c>
      <c r="B4" s="1" t="n">
        <f aca="false">+ricavi!D1</f>
        <v>271720</v>
      </c>
      <c r="C4" s="2"/>
    </row>
    <row r="5" customFormat="false" ht="12.8" hidden="false" customHeight="false" outlineLevel="0" collapsed="false">
      <c r="A5" s="0" t="s">
        <v>3</v>
      </c>
      <c r="B5" s="1"/>
      <c r="C5" s="2"/>
      <c r="E5" s="0" t="n">
        <v>55939</v>
      </c>
    </row>
    <row r="6" customFormat="false" ht="12.8" hidden="false" customHeight="false" outlineLevel="0" collapsed="false">
      <c r="B6" s="1"/>
      <c r="C6" s="2"/>
    </row>
    <row r="7" customFormat="false" ht="12.8" hidden="false" customHeight="false" outlineLevel="0" collapsed="false">
      <c r="B7" s="1"/>
      <c r="C7" s="2"/>
    </row>
    <row r="8" customFormat="false" ht="12.8" hidden="false" customHeight="false" outlineLevel="0" collapsed="false">
      <c r="A8" s="0" t="s">
        <v>4</v>
      </c>
      <c r="B8" s="1"/>
      <c r="C8" s="2" t="n">
        <f aca="false">SUM(B9:B15)</f>
        <v>208769.04</v>
      </c>
      <c r="E8" s="0" t="n">
        <f aca="false">+55939+B11+B12+B13+B14+B15</f>
        <v>208769</v>
      </c>
    </row>
    <row r="9" customFormat="false" ht="12.8" hidden="false" customHeight="false" outlineLevel="0" collapsed="false">
      <c r="A9" s="0" t="s">
        <v>5</v>
      </c>
      <c r="B9" s="1"/>
      <c r="C9" s="2"/>
      <c r="E9" s="0" t="n">
        <f aca="false">+E8-'COSTO TOTALE'!I14</f>
        <v>-23.0438281944371</v>
      </c>
    </row>
    <row r="10" customFormat="false" ht="12.8" hidden="false" customHeight="false" outlineLevel="0" collapsed="false">
      <c r="A10" s="0" t="s">
        <v>6</v>
      </c>
      <c r="B10" s="1" t="n">
        <v>55939.04</v>
      </c>
      <c r="C10" s="2"/>
    </row>
    <row r="11" customFormat="false" ht="12.8" hidden="false" customHeight="false" outlineLevel="0" collapsed="false">
      <c r="A11" s="0" t="s">
        <v>7</v>
      </c>
      <c r="B11" s="1" t="n">
        <f aca="false">+consumi!D8</f>
        <v>11280</v>
      </c>
      <c r="C11" s="2"/>
    </row>
    <row r="12" customFormat="false" ht="12.8" hidden="false" customHeight="false" outlineLevel="0" collapsed="false">
      <c r="A12" s="0" t="s">
        <v>8</v>
      </c>
      <c r="B12" s="1" t="n">
        <f aca="false">+personale!C8</f>
        <v>106500</v>
      </c>
      <c r="C12" s="2"/>
    </row>
    <row r="13" customFormat="false" ht="12.8" hidden="false" customHeight="false" outlineLevel="0" collapsed="false">
      <c r="A13" s="0" t="s">
        <v>9</v>
      </c>
      <c r="B13" s="1" t="n">
        <v>9750</v>
      </c>
      <c r="C13" s="2"/>
    </row>
    <row r="14" customFormat="false" ht="12.8" hidden="false" customHeight="false" outlineLevel="0" collapsed="false">
      <c r="A14" s="0" t="s">
        <v>10</v>
      </c>
      <c r="B14" s="1" t="n">
        <f aca="false">+'beni strumentali'!B11</f>
        <v>3300</v>
      </c>
      <c r="C14" s="2"/>
    </row>
    <row r="15" customFormat="false" ht="12.8" hidden="false" customHeight="false" outlineLevel="0" collapsed="false">
      <c r="A15" s="0" t="s">
        <v>11</v>
      </c>
      <c r="B15" s="1" t="n">
        <v>22000</v>
      </c>
      <c r="C15" s="2"/>
    </row>
    <row r="16" customFormat="false" ht="12.8" hidden="false" customHeight="false" outlineLevel="0" collapsed="false">
      <c r="B16" s="1"/>
      <c r="C16" s="2"/>
    </row>
    <row r="17" customFormat="false" ht="12.8" hidden="false" customHeight="false" outlineLevel="0" collapsed="false">
      <c r="A17" s="0" t="s">
        <v>12</v>
      </c>
      <c r="B17" s="1"/>
      <c r="C17" s="2" t="n">
        <f aca="false">+C3-C8</f>
        <v>62950.96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G10" activeCellId="0" sqref="G10"/>
    </sheetView>
  </sheetViews>
  <sheetFormatPr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1" width="8.56"/>
    <col collapsed="false" customWidth="true" hidden="false" outlineLevel="0" max="3" min="3" style="1" width="8.48"/>
    <col collapsed="false" customWidth="true" hidden="false" outlineLevel="0" max="4" min="4" style="1" width="8.63"/>
    <col collapsed="false" customWidth="true" hidden="false" outlineLevel="0" max="5" min="5" style="1" width="13.82"/>
    <col collapsed="false" customWidth="false" hidden="false" outlineLevel="0" max="7" min="6" style="1" width="11.52"/>
    <col collapsed="false" customWidth="true" hidden="false" outlineLevel="0" max="24" min="8" style="1" width="9.18"/>
    <col collapsed="false" customWidth="false" hidden="false" outlineLevel="0" max="1007" min="25" style="1" width="11.52"/>
    <col collapsed="false" customWidth="false" hidden="false" outlineLevel="0" max="1025" min="1008" style="0" width="11.52"/>
  </cols>
  <sheetData>
    <row r="1" customFormat="false" ht="12.8" hidden="false" customHeight="false" outlineLevel="0" collapsed="false">
      <c r="E1" s="1" t="s">
        <v>13</v>
      </c>
    </row>
    <row r="2" s="3" customFormat="true" ht="12.8" hidden="false" customHeight="false" outlineLevel="0" collapsed="false">
      <c r="B2" s="4" t="s">
        <v>14</v>
      </c>
      <c r="C2" s="4" t="s">
        <v>15</v>
      </c>
      <c r="D2" s="4" t="s">
        <v>16</v>
      </c>
      <c r="E2" s="5" t="s">
        <v>17</v>
      </c>
      <c r="F2" s="5"/>
      <c r="G2" s="5"/>
      <c r="H2" s="6"/>
      <c r="I2" s="7" t="s">
        <v>18</v>
      </c>
      <c r="J2" s="7"/>
      <c r="K2" s="7"/>
      <c r="L2" s="7"/>
      <c r="M2" s="8" t="s">
        <v>19</v>
      </c>
      <c r="N2" s="8"/>
      <c r="O2" s="8" t="s">
        <v>20</v>
      </c>
      <c r="P2" s="8"/>
      <c r="Q2" s="9" t="s">
        <v>21</v>
      </c>
      <c r="R2" s="9"/>
      <c r="S2" s="9"/>
      <c r="T2" s="9"/>
      <c r="U2" s="10" t="s">
        <v>22</v>
      </c>
      <c r="V2" s="10"/>
      <c r="W2" s="10"/>
      <c r="X2" s="10"/>
      <c r="Y2" s="11" t="s">
        <v>23</v>
      </c>
      <c r="Z2" s="11"/>
      <c r="AA2" s="11"/>
      <c r="AB2" s="11"/>
      <c r="AC2" s="9" t="s">
        <v>20</v>
      </c>
      <c r="AD2" s="9"/>
      <c r="AE2" s="9"/>
      <c r="AF2" s="9"/>
      <c r="AG2" s="12" t="s">
        <v>24</v>
      </c>
      <c r="AH2" s="12"/>
      <c r="AI2" s="12"/>
      <c r="AJ2" s="12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3" customFormat="true" ht="12.8" hidden="false" customHeight="false" outlineLevel="0" collapsed="false">
      <c r="E3" s="6" t="s">
        <v>25</v>
      </c>
      <c r="F3" s="6" t="s">
        <v>26</v>
      </c>
      <c r="G3" s="6" t="s">
        <v>27</v>
      </c>
      <c r="H3" s="6" t="s">
        <v>28</v>
      </c>
      <c r="I3" s="13" t="s">
        <v>25</v>
      </c>
      <c r="J3" s="13" t="s">
        <v>26</v>
      </c>
      <c r="K3" s="13" t="s">
        <v>27</v>
      </c>
      <c r="L3" s="13" t="s">
        <v>28</v>
      </c>
      <c r="M3" s="14" t="s">
        <v>25</v>
      </c>
      <c r="N3" s="14" t="s">
        <v>26</v>
      </c>
      <c r="O3" s="14" t="s">
        <v>27</v>
      </c>
      <c r="P3" s="14" t="s">
        <v>28</v>
      </c>
      <c r="Q3" s="15" t="s">
        <v>25</v>
      </c>
      <c r="R3" s="15" t="s">
        <v>26</v>
      </c>
      <c r="S3" s="15" t="s">
        <v>27</v>
      </c>
      <c r="T3" s="15" t="s">
        <v>28</v>
      </c>
      <c r="U3" s="16" t="s">
        <v>25</v>
      </c>
      <c r="V3" s="16" t="s">
        <v>26</v>
      </c>
      <c r="W3" s="16" t="s">
        <v>27</v>
      </c>
      <c r="X3" s="16" t="s">
        <v>28</v>
      </c>
      <c r="Y3" s="17" t="s">
        <v>25</v>
      </c>
      <c r="Z3" s="17" t="s">
        <v>26</v>
      </c>
      <c r="AA3" s="17" t="s">
        <v>27</v>
      </c>
      <c r="AB3" s="17" t="s">
        <v>28</v>
      </c>
      <c r="AC3" s="15" t="s">
        <v>25</v>
      </c>
      <c r="AD3" s="15" t="s">
        <v>26</v>
      </c>
      <c r="AE3" s="15" t="s">
        <v>27</v>
      </c>
      <c r="AF3" s="15" t="s">
        <v>28</v>
      </c>
      <c r="AG3" s="18" t="s">
        <v>25</v>
      </c>
      <c r="AH3" s="18" t="s">
        <v>26</v>
      </c>
      <c r="AI3" s="18" t="s">
        <v>27</v>
      </c>
      <c r="AJ3" s="18" t="s">
        <v>28</v>
      </c>
      <c r="AK3" s="19" t="s">
        <v>29</v>
      </c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8" hidden="false" customHeight="false" outlineLevel="0" collapsed="false">
      <c r="A4" s="20" t="s">
        <v>30</v>
      </c>
      <c r="B4" s="1" t="n">
        <f aca="false">+D4*C4</f>
        <v>1187.2</v>
      </c>
      <c r="C4" s="1" t="n">
        <f aca="false">+E4*F4+U4*V4+I4*J4+M4*N4+Y4*Z4+AC4*AD4+Q4*R4+AG4*AH4</f>
        <v>1060</v>
      </c>
      <c r="D4" s="1" t="n">
        <v>1.12</v>
      </c>
      <c r="E4" s="21" t="n">
        <v>0.07</v>
      </c>
      <c r="F4" s="21" t="n">
        <f aca="false">+ricavi!B4</f>
        <v>9000</v>
      </c>
      <c r="G4" s="21" t="n">
        <f aca="false">+E4*D4</f>
        <v>0.0784</v>
      </c>
      <c r="H4" s="21" t="n">
        <f aca="false">+G4*F4</f>
        <v>705.6</v>
      </c>
      <c r="I4" s="22"/>
      <c r="J4" s="22"/>
      <c r="K4" s="22"/>
      <c r="L4" s="22"/>
      <c r="M4" s="23"/>
      <c r="N4" s="23"/>
      <c r="O4" s="23"/>
      <c r="P4" s="23"/>
      <c r="Q4" s="24"/>
      <c r="R4" s="24"/>
      <c r="S4" s="24"/>
      <c r="T4" s="24"/>
      <c r="U4" s="25" t="n">
        <v>0.05</v>
      </c>
      <c r="V4" s="26" t="n">
        <f aca="false">+ricavi!B7</f>
        <v>8600</v>
      </c>
      <c r="W4" s="26" t="n">
        <f aca="false">+U4*D4</f>
        <v>0.056</v>
      </c>
      <c r="X4" s="26" t="n">
        <f aca="false">+W4*V4</f>
        <v>481.6</v>
      </c>
      <c r="Y4" s="27"/>
      <c r="Z4" s="28"/>
      <c r="AA4" s="28"/>
      <c r="AB4" s="28"/>
      <c r="AC4" s="29"/>
      <c r="AD4" s="24"/>
      <c r="AE4" s="24"/>
      <c r="AF4" s="24"/>
      <c r="AG4" s="30"/>
      <c r="AH4" s="31"/>
      <c r="AI4" s="31"/>
      <c r="AJ4" s="31"/>
      <c r="AK4" s="1" t="n">
        <f aca="false">+AJ4+AF4+AB4+X4+T4+P4+L4+H4-B4</f>
        <v>0</v>
      </c>
    </row>
    <row r="5" customFormat="false" ht="12.8" hidden="false" customHeight="false" outlineLevel="0" collapsed="false">
      <c r="A5" s="20" t="s">
        <v>31</v>
      </c>
      <c r="B5" s="1" t="n">
        <f aca="false">+D5*C5</f>
        <v>123.84</v>
      </c>
      <c r="C5" s="1" t="n">
        <f aca="false">+E5*F5+U5*V5+I5*J5+M5*N5+Y5*Z5+AC5*AD5+Q5*R5+AG5*AH5</f>
        <v>2.58</v>
      </c>
      <c r="D5" s="1" t="n">
        <v>48</v>
      </c>
      <c r="E5" s="21"/>
      <c r="F5" s="21"/>
      <c r="G5" s="21"/>
      <c r="H5" s="21"/>
      <c r="I5" s="22"/>
      <c r="J5" s="22"/>
      <c r="K5" s="22"/>
      <c r="L5" s="22"/>
      <c r="M5" s="23"/>
      <c r="N5" s="23"/>
      <c r="O5" s="23"/>
      <c r="P5" s="23"/>
      <c r="Q5" s="24"/>
      <c r="R5" s="24"/>
      <c r="S5" s="24"/>
      <c r="T5" s="24"/>
      <c r="U5" s="25" t="n">
        <v>0.0003</v>
      </c>
      <c r="V5" s="26" t="n">
        <f aca="false">+ricavi!B7</f>
        <v>8600</v>
      </c>
      <c r="W5" s="26" t="n">
        <f aca="false">+U5*D5</f>
        <v>0.0144</v>
      </c>
      <c r="X5" s="26" t="n">
        <f aca="false">+W5*V5</f>
        <v>123.84</v>
      </c>
      <c r="Y5" s="27"/>
      <c r="Z5" s="28"/>
      <c r="AA5" s="28"/>
      <c r="AB5" s="28"/>
      <c r="AC5" s="29"/>
      <c r="AD5" s="24"/>
      <c r="AE5" s="24"/>
      <c r="AF5" s="24"/>
      <c r="AG5" s="30"/>
      <c r="AH5" s="31"/>
      <c r="AI5" s="31"/>
      <c r="AJ5" s="31"/>
      <c r="AK5" s="1" t="n">
        <f aca="false">+AJ5+AF5+AB5+X5+T5+P5+L5+H5-B5</f>
        <v>0</v>
      </c>
    </row>
    <row r="6" customFormat="false" ht="12.8" hidden="false" customHeight="false" outlineLevel="0" collapsed="false">
      <c r="A6" s="20" t="s">
        <v>32</v>
      </c>
      <c r="B6" s="1" t="n">
        <f aca="false">+D6*C6</f>
        <v>32760</v>
      </c>
      <c r="C6" s="1" t="n">
        <f aca="false">+E6*F6+U6*V6+I6*J6+M6*N6+Y6*Z6+AC6*AD6+Q6*R6+AG6*AH6</f>
        <v>1820</v>
      </c>
      <c r="D6" s="1" t="n">
        <v>18</v>
      </c>
      <c r="E6" s="21"/>
      <c r="F6" s="21"/>
      <c r="G6" s="21"/>
      <c r="H6" s="21"/>
      <c r="I6" s="22" t="n">
        <v>0.02</v>
      </c>
      <c r="J6" s="22" t="n">
        <f aca="false">+ricavi!$B$4</f>
        <v>9000</v>
      </c>
      <c r="K6" s="22" t="n">
        <f aca="false">+I6*D6</f>
        <v>0.36</v>
      </c>
      <c r="L6" s="22" t="n">
        <f aca="false">+K6*J6</f>
        <v>3240</v>
      </c>
      <c r="M6" s="23" t="n">
        <v>0.2</v>
      </c>
      <c r="N6" s="23" t="n">
        <f aca="false">+ricavi!$B$5</f>
        <v>8200</v>
      </c>
      <c r="O6" s="23" t="n">
        <f aca="false">+D6*M6</f>
        <v>3.6</v>
      </c>
      <c r="P6" s="23" t="n">
        <f aca="false">+O6*N6</f>
        <v>29520</v>
      </c>
      <c r="Q6" s="24"/>
      <c r="R6" s="24"/>
      <c r="S6" s="24"/>
      <c r="T6" s="24"/>
      <c r="U6" s="26"/>
      <c r="V6" s="26"/>
      <c r="W6" s="26"/>
      <c r="X6" s="26"/>
      <c r="Y6" s="28"/>
      <c r="Z6" s="28"/>
      <c r="AA6" s="28"/>
      <c r="AB6" s="28"/>
      <c r="AC6" s="24"/>
      <c r="AD6" s="24"/>
      <c r="AE6" s="24"/>
      <c r="AF6" s="24"/>
      <c r="AG6" s="31"/>
      <c r="AH6" s="31"/>
      <c r="AI6" s="31"/>
      <c r="AJ6" s="31"/>
      <c r="AK6" s="1" t="n">
        <f aca="false">+AJ6+AF6+AB6+X6+T6+P6+L6+H6-B6</f>
        <v>0</v>
      </c>
    </row>
    <row r="7" customFormat="false" ht="12.8" hidden="false" customHeight="false" outlineLevel="0" collapsed="false">
      <c r="A7" s="20" t="s">
        <v>33</v>
      </c>
      <c r="B7" s="1" t="n">
        <f aca="false">+D7*C7</f>
        <v>4840</v>
      </c>
      <c r="C7" s="1" t="n">
        <f aca="false">+E7*F7+U7*V7+I7*J7+M7*N7+Y7*Z7+AC7*AD7+Q7*R7+AG7*AH7</f>
        <v>2420</v>
      </c>
      <c r="D7" s="1" t="n">
        <v>2</v>
      </c>
      <c r="E7" s="21"/>
      <c r="F7" s="21"/>
      <c r="G7" s="21"/>
      <c r="H7" s="21"/>
      <c r="I7" s="22" t="n">
        <v>0.01</v>
      </c>
      <c r="J7" s="22" t="n">
        <f aca="false">+ricavi!$B$4</f>
        <v>9000</v>
      </c>
      <c r="K7" s="22" t="n">
        <f aca="false">+I7*D7</f>
        <v>0.02</v>
      </c>
      <c r="L7" s="22" t="n">
        <f aca="false">+K7*J7</f>
        <v>180</v>
      </c>
      <c r="M7" s="23" t="n">
        <v>0.02</v>
      </c>
      <c r="N7" s="23" t="n">
        <f aca="false">+ricavi!$B$5</f>
        <v>8200</v>
      </c>
      <c r="O7" s="23" t="n">
        <f aca="false">+D7*M7</f>
        <v>0.04</v>
      </c>
      <c r="P7" s="23" t="n">
        <f aca="false">+O7*N7</f>
        <v>328</v>
      </c>
      <c r="Q7" s="24" t="n">
        <v>0.2</v>
      </c>
      <c r="R7" s="24" t="n">
        <f aca="false">+ricavi!B6</f>
        <v>10400</v>
      </c>
      <c r="S7" s="24" t="n">
        <f aca="false">+Q7*D7</f>
        <v>0.4</v>
      </c>
      <c r="T7" s="24" t="n">
        <f aca="false">+S7*R7</f>
        <v>4160</v>
      </c>
      <c r="U7" s="26" t="n">
        <v>0.01</v>
      </c>
      <c r="V7" s="26" t="n">
        <f aca="false">+ricavi!B7</f>
        <v>8600</v>
      </c>
      <c r="W7" s="26" t="n">
        <f aca="false">+U7*D7</f>
        <v>0.02</v>
      </c>
      <c r="X7" s="26" t="n">
        <f aca="false">+W7*V7</f>
        <v>172</v>
      </c>
      <c r="Y7" s="28"/>
      <c r="Z7" s="28"/>
      <c r="AA7" s="28"/>
      <c r="AB7" s="28"/>
      <c r="AC7" s="24"/>
      <c r="AD7" s="24"/>
      <c r="AE7" s="24"/>
      <c r="AF7" s="24"/>
      <c r="AG7" s="31"/>
      <c r="AH7" s="31"/>
      <c r="AI7" s="31"/>
      <c r="AJ7" s="31"/>
      <c r="AK7" s="1" t="n">
        <f aca="false">+AJ7+AF7+AB7+X7+T7+P7+L7+H7-B7</f>
        <v>0</v>
      </c>
    </row>
    <row r="8" customFormat="false" ht="12.8" hidden="false" customHeight="false" outlineLevel="0" collapsed="false">
      <c r="A8" s="20" t="s">
        <v>23</v>
      </c>
      <c r="B8" s="1" t="n">
        <f aca="false">+D8*C8</f>
        <v>3864</v>
      </c>
      <c r="C8" s="1" t="n">
        <f aca="false">+E8*F8+U8*V8+I8*J8+M8*N8+Y8*Z8+AC8*AD8+Q8*R8+AG8*AH8</f>
        <v>1932</v>
      </c>
      <c r="D8" s="1" t="n">
        <v>2</v>
      </c>
      <c r="E8" s="21"/>
      <c r="F8" s="21"/>
      <c r="G8" s="21"/>
      <c r="H8" s="21"/>
      <c r="I8" s="22" t="n">
        <v>0.01</v>
      </c>
      <c r="J8" s="22" t="n">
        <f aca="false">+ricavi!$B$4</f>
        <v>9000</v>
      </c>
      <c r="K8" s="22" t="n">
        <f aca="false">+I8*D8</f>
        <v>0.02</v>
      </c>
      <c r="L8" s="22" t="n">
        <f aca="false">+K8*J8</f>
        <v>180</v>
      </c>
      <c r="M8" s="23" t="n">
        <v>0.01</v>
      </c>
      <c r="N8" s="23" t="n">
        <f aca="false">+ricavi!$B$5</f>
        <v>8200</v>
      </c>
      <c r="O8" s="23" t="n">
        <f aca="false">+D8*M8</f>
        <v>0.02</v>
      </c>
      <c r="P8" s="23" t="n">
        <f aca="false">+O8*N8</f>
        <v>164</v>
      </c>
      <c r="Q8" s="24"/>
      <c r="R8" s="24"/>
      <c r="S8" s="24"/>
      <c r="T8" s="24"/>
      <c r="U8" s="26"/>
      <c r="V8" s="26"/>
      <c r="W8" s="26"/>
      <c r="X8" s="26"/>
      <c r="Y8" s="28" t="n">
        <v>1</v>
      </c>
      <c r="Z8" s="28" t="n">
        <f aca="false">+ricavi!B9</f>
        <v>1760</v>
      </c>
      <c r="AA8" s="28" t="n">
        <f aca="false">+Y8*D8</f>
        <v>2</v>
      </c>
      <c r="AB8" s="28" t="n">
        <f aca="false">+AA8*Z8</f>
        <v>3520</v>
      </c>
      <c r="AC8" s="24"/>
      <c r="AD8" s="24"/>
      <c r="AE8" s="24"/>
      <c r="AF8" s="24"/>
      <c r="AG8" s="31"/>
      <c r="AH8" s="31"/>
      <c r="AI8" s="31"/>
      <c r="AJ8" s="31"/>
      <c r="AK8" s="1" t="n">
        <f aca="false">+AJ8+AF8+AB8+X8+T8+P8+L8+H8-B8</f>
        <v>0</v>
      </c>
    </row>
    <row r="9" customFormat="false" ht="12.8" hidden="false" customHeight="false" outlineLevel="0" collapsed="false">
      <c r="A9" s="20" t="s">
        <v>20</v>
      </c>
      <c r="B9" s="1" t="n">
        <f aca="false">+D9*C9</f>
        <v>7800</v>
      </c>
      <c r="C9" s="1" t="n">
        <f aca="false">+E9*F9+U9*V9+I9*J9+M9*N9+Y9*Z9+AC9*AD9+Q9*R9+AG9*AH9</f>
        <v>5200</v>
      </c>
      <c r="D9" s="1" t="n">
        <v>1.5</v>
      </c>
      <c r="E9" s="21"/>
      <c r="F9" s="21"/>
      <c r="G9" s="21"/>
      <c r="H9" s="21"/>
      <c r="I9" s="22"/>
      <c r="J9" s="22"/>
      <c r="K9" s="22"/>
      <c r="L9" s="22"/>
      <c r="M9" s="23"/>
      <c r="N9" s="23"/>
      <c r="O9" s="23"/>
      <c r="P9" s="23"/>
      <c r="Q9" s="24"/>
      <c r="R9" s="24"/>
      <c r="S9" s="24"/>
      <c r="T9" s="24"/>
      <c r="U9" s="26"/>
      <c r="V9" s="26"/>
      <c r="W9" s="26"/>
      <c r="X9" s="26"/>
      <c r="Y9" s="28"/>
      <c r="Z9" s="28"/>
      <c r="AA9" s="28"/>
      <c r="AB9" s="28"/>
      <c r="AC9" s="24" t="n">
        <v>1</v>
      </c>
      <c r="AD9" s="24" t="n">
        <f aca="false">+ricavi!B10</f>
        <v>5200</v>
      </c>
      <c r="AE9" s="24" t="n">
        <f aca="false">+AC9*D9</f>
        <v>1.5</v>
      </c>
      <c r="AF9" s="24" t="n">
        <f aca="false">+AE9*AD9</f>
        <v>7800</v>
      </c>
      <c r="AG9" s="31"/>
      <c r="AH9" s="31"/>
      <c r="AI9" s="31"/>
      <c r="AJ9" s="31"/>
      <c r="AK9" s="1" t="n">
        <f aca="false">+AJ9+AF9+AB9+X9+T9+P9+L9+H9-B9</f>
        <v>0</v>
      </c>
    </row>
    <row r="10" customFormat="false" ht="12.8" hidden="false" customHeight="false" outlineLevel="0" collapsed="false">
      <c r="A10" s="20" t="s">
        <v>34</v>
      </c>
      <c r="B10" s="1" t="n">
        <f aca="false">+D10*C10</f>
        <v>2520</v>
      </c>
      <c r="C10" s="1" t="n">
        <f aca="false">+E10*F10+U10*V10+I10*J10+M10*N10+Y10*Z10+AC10*AD10+Q10*R10+AG10*AH10</f>
        <v>180</v>
      </c>
      <c r="D10" s="1" t="n">
        <v>14</v>
      </c>
      <c r="E10" s="21"/>
      <c r="F10" s="21"/>
      <c r="G10" s="21"/>
      <c r="H10" s="21"/>
      <c r="I10" s="22" t="n">
        <v>0.02</v>
      </c>
      <c r="J10" s="22" t="n">
        <f aca="false">+ricavi!$B$4</f>
        <v>9000</v>
      </c>
      <c r="K10" s="22" t="n">
        <f aca="false">+I10*D10</f>
        <v>0.28</v>
      </c>
      <c r="L10" s="22" t="n">
        <f aca="false">+K10*J10</f>
        <v>2520</v>
      </c>
      <c r="M10" s="23"/>
      <c r="N10" s="23"/>
      <c r="O10" s="23"/>
      <c r="P10" s="23"/>
      <c r="Q10" s="24"/>
      <c r="R10" s="24"/>
      <c r="S10" s="24"/>
      <c r="T10" s="24"/>
      <c r="U10" s="26"/>
      <c r="V10" s="26"/>
      <c r="W10" s="26"/>
      <c r="X10" s="26"/>
      <c r="Y10" s="28"/>
      <c r="Z10" s="28"/>
      <c r="AA10" s="28"/>
      <c r="AB10" s="28"/>
      <c r="AC10" s="24"/>
      <c r="AD10" s="24"/>
      <c r="AE10" s="24"/>
      <c r="AF10" s="24"/>
      <c r="AG10" s="31"/>
      <c r="AH10" s="31"/>
      <c r="AI10" s="31"/>
      <c r="AJ10" s="31"/>
      <c r="AK10" s="1" t="n">
        <f aca="false">+AJ10+AF10+AB10+X10+T10+P10+L10+H10-B10</f>
        <v>0</v>
      </c>
    </row>
    <row r="11" customFormat="false" ht="12.8" hidden="false" customHeight="false" outlineLevel="0" collapsed="false">
      <c r="A11" s="20" t="s">
        <v>24</v>
      </c>
      <c r="B11" s="1" t="n">
        <f aca="false">+D11*C11</f>
        <v>2844</v>
      </c>
      <c r="C11" s="1" t="n">
        <f aca="false">+E11*F11+U11*V11+I11*J11+M11*N11+Y11*Z11+AC11*AD11+Q11*R11+AG11*AH11</f>
        <v>316</v>
      </c>
      <c r="D11" s="1" t="n">
        <v>9</v>
      </c>
      <c r="E11" s="21"/>
      <c r="F11" s="21"/>
      <c r="G11" s="21"/>
      <c r="H11" s="21"/>
      <c r="I11" s="22"/>
      <c r="J11" s="22"/>
      <c r="K11" s="22"/>
      <c r="L11" s="22"/>
      <c r="M11" s="23"/>
      <c r="N11" s="23"/>
      <c r="O11" s="23"/>
      <c r="P11" s="23"/>
      <c r="Q11" s="24"/>
      <c r="R11" s="24"/>
      <c r="S11" s="24"/>
      <c r="T11" s="24"/>
      <c r="U11" s="26" t="n">
        <v>0.02</v>
      </c>
      <c r="V11" s="26" t="n">
        <v>8600</v>
      </c>
      <c r="W11" s="26" t="n">
        <f aca="false">+U11*D11</f>
        <v>0.18</v>
      </c>
      <c r="X11" s="26" t="n">
        <f aca="false">+V11*W11</f>
        <v>1548</v>
      </c>
      <c r="Y11" s="28"/>
      <c r="Z11" s="28"/>
      <c r="AA11" s="28"/>
      <c r="AB11" s="28"/>
      <c r="AC11" s="24"/>
      <c r="AD11" s="24"/>
      <c r="AE11" s="24"/>
      <c r="AF11" s="24"/>
      <c r="AG11" s="31" t="n">
        <v>0.02</v>
      </c>
      <c r="AH11" s="31" t="n">
        <f aca="false">+ricavi!B8</f>
        <v>7200</v>
      </c>
      <c r="AI11" s="31" t="n">
        <f aca="false">+AG11*D11</f>
        <v>0.18</v>
      </c>
      <c r="AJ11" s="31" t="n">
        <f aca="false">+AI11*AH11</f>
        <v>1296</v>
      </c>
      <c r="AK11" s="1" t="n">
        <f aca="false">+AJ11+AF11+AB11+X11+T11+P11+L11+H11-B11</f>
        <v>0</v>
      </c>
    </row>
    <row r="12" customFormat="false" ht="12.8" hidden="false" customHeight="false" outlineLevel="0" collapsed="false">
      <c r="A12" s="1" t="s">
        <v>35</v>
      </c>
      <c r="B12" s="1" t="n">
        <f aca="false">+consumi!J6</f>
        <v>609</v>
      </c>
      <c r="C12" s="1" t="n">
        <f aca="false">+consumi!I6</f>
        <v>7000</v>
      </c>
      <c r="D12" s="32" t="n">
        <f aca="false">+consumi!C6</f>
        <v>0.087</v>
      </c>
      <c r="E12" s="33" t="n">
        <v>0.23</v>
      </c>
      <c r="F12" s="21" t="n">
        <f aca="false">+ricavi!B4</f>
        <v>9000</v>
      </c>
      <c r="G12" s="33" t="n">
        <f aca="false">+E12*D12</f>
        <v>0.02001</v>
      </c>
      <c r="H12" s="21" t="n">
        <f aca="false">+G12*F12</f>
        <v>180.09</v>
      </c>
      <c r="I12" s="22" t="n">
        <v>0.15</v>
      </c>
      <c r="J12" s="22" t="n">
        <f aca="false">+ricavi!B4</f>
        <v>9000</v>
      </c>
      <c r="K12" s="34" t="n">
        <f aca="false">+I12*D12</f>
        <v>0.01305</v>
      </c>
      <c r="L12" s="22" t="n">
        <f aca="false">+K12*J12</f>
        <v>117.45</v>
      </c>
      <c r="M12" s="23"/>
      <c r="N12" s="23"/>
      <c r="O12" s="23"/>
      <c r="P12" s="23"/>
      <c r="Q12" s="24" t="n">
        <v>0.12</v>
      </c>
      <c r="R12" s="24" t="n">
        <f aca="false">+ricavi!B6</f>
        <v>10400</v>
      </c>
      <c r="S12" s="35" t="n">
        <f aca="false">+Q12*D12</f>
        <v>0.01044</v>
      </c>
      <c r="T12" s="24" t="n">
        <f aca="false">+S12*R12</f>
        <v>108.576</v>
      </c>
      <c r="U12" s="26" t="n">
        <v>0.154</v>
      </c>
      <c r="V12" s="26" t="n">
        <f aca="false">+ricavi!B7</f>
        <v>8600</v>
      </c>
      <c r="W12" s="36" t="n">
        <f aca="false">+U12*D12</f>
        <v>0.013398</v>
      </c>
      <c r="X12" s="26" t="n">
        <f aca="false">+V12*W12</f>
        <v>115.2228</v>
      </c>
      <c r="Y12" s="28"/>
      <c r="Z12" s="28"/>
      <c r="AA12" s="28"/>
      <c r="AB12" s="28"/>
      <c r="AC12" s="24"/>
      <c r="AD12" s="24"/>
      <c r="AE12" s="24"/>
      <c r="AF12" s="24"/>
      <c r="AG12" s="31" t="n">
        <v>0.13995</v>
      </c>
      <c r="AH12" s="31" t="n">
        <f aca="false">+ricavi!B8</f>
        <v>7200</v>
      </c>
      <c r="AI12" s="37" t="n">
        <f aca="false">+AG12*D12</f>
        <v>0.01217565</v>
      </c>
      <c r="AJ12" s="31" t="n">
        <f aca="false">+AI12*AH12</f>
        <v>87.66468</v>
      </c>
      <c r="AK12" s="1" t="n">
        <f aca="false">+AJ12+AF12+AB12+X12+T12+P12+L12+H12-B12</f>
        <v>0.00348000000008142</v>
      </c>
    </row>
    <row r="13" s="39" customFormat="true" ht="12.8" hidden="false" customHeight="false" outlineLevel="0" collapsed="false">
      <c r="A13" s="38" t="s">
        <v>36</v>
      </c>
      <c r="B13" s="38" t="n">
        <f aca="false">SUM(B4:B12)</f>
        <v>56548.04</v>
      </c>
      <c r="C13" s="38"/>
      <c r="D13" s="38"/>
      <c r="E13" s="38"/>
      <c r="F13" s="38"/>
      <c r="G13" s="38" t="n">
        <f aca="false">SUM(G4:G12)</f>
        <v>0.09841</v>
      </c>
      <c r="H13" s="38" t="n">
        <f aca="false">SUM(H4:H12)</f>
        <v>885.69</v>
      </c>
      <c r="I13" s="38"/>
      <c r="J13" s="38"/>
      <c r="K13" s="38" t="n">
        <f aca="false">SUM(K4:K12)</f>
        <v>0.69305</v>
      </c>
      <c r="L13" s="38" t="n">
        <f aca="false">SUM(L4:L12)</f>
        <v>6237.45</v>
      </c>
      <c r="M13" s="38"/>
      <c r="N13" s="38"/>
      <c r="O13" s="38" t="n">
        <f aca="false">SUM(O4:O12)</f>
        <v>3.66</v>
      </c>
      <c r="P13" s="38" t="n">
        <f aca="false">SUM(P4:P12)</f>
        <v>30012</v>
      </c>
      <c r="Q13" s="38"/>
      <c r="R13" s="38"/>
      <c r="S13" s="38" t="n">
        <f aca="false">SUM(S4:S12)</f>
        <v>0.41044</v>
      </c>
      <c r="T13" s="38" t="n">
        <f aca="false">SUM(T4:T12)</f>
        <v>4268.576</v>
      </c>
      <c r="U13" s="38"/>
      <c r="V13" s="38"/>
      <c r="W13" s="38" t="n">
        <f aca="false">SUM(W4:W12)</f>
        <v>0.283798</v>
      </c>
      <c r="X13" s="38" t="n">
        <f aca="false">SUM(X4:X12)</f>
        <v>2440.6628</v>
      </c>
      <c r="Y13" s="38"/>
      <c r="Z13" s="38"/>
      <c r="AA13" s="38" t="n">
        <f aca="false">SUM(AA4:AA12)</f>
        <v>2</v>
      </c>
      <c r="AB13" s="38" t="n">
        <f aca="false">SUM(AB4:AB12)</f>
        <v>3520</v>
      </c>
      <c r="AC13" s="38"/>
      <c r="AD13" s="38"/>
      <c r="AE13" s="38" t="n">
        <f aca="false">SUM(AE4:AE12)</f>
        <v>1.5</v>
      </c>
      <c r="AF13" s="38" t="n">
        <f aca="false">SUM(AF4:AF12)</f>
        <v>7800</v>
      </c>
      <c r="AG13" s="38"/>
      <c r="AH13" s="38"/>
      <c r="AI13" s="38" t="n">
        <f aca="false">SUM(AI4:AI12)</f>
        <v>0.19217565</v>
      </c>
      <c r="AJ13" s="38" t="n">
        <f aca="false">SUM(AJ4:AJ12)</f>
        <v>1383.66468</v>
      </c>
      <c r="AK13" s="38" t="n">
        <f aca="false">+B13-AJ13-AF13-AB13-X13-T13-P13-L13-H13</f>
        <v>-0.00348000000713</v>
      </c>
      <c r="AL13" s="38"/>
      <c r="ALT13" s="40"/>
      <c r="ALU13" s="40"/>
      <c r="ALV13" s="40"/>
      <c r="ALW13" s="40"/>
      <c r="ALX13" s="40"/>
      <c r="ALY13" s="40"/>
      <c r="ALZ13" s="40"/>
      <c r="AMA13" s="40"/>
      <c r="AMB13" s="40"/>
      <c r="AMC13" s="40"/>
      <c r="AMD13" s="40"/>
      <c r="AME13" s="40"/>
      <c r="AMF13" s="40"/>
      <c r="AMG13" s="40"/>
      <c r="AMH13" s="40"/>
      <c r="AMI13" s="40"/>
      <c r="AMJ13" s="40"/>
    </row>
  </sheetData>
  <mergeCells count="8">
    <mergeCell ref="E2:G2"/>
    <mergeCell ref="I2:L2"/>
    <mergeCell ref="M2:P2"/>
    <mergeCell ref="Q2:T2"/>
    <mergeCell ref="U2:X2"/>
    <mergeCell ref="Y2:AB2"/>
    <mergeCell ref="AC2:AF2"/>
    <mergeCell ref="AG2:AJ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B10" activeCellId="0" sqref="B10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41" t="s">
        <v>37</v>
      </c>
      <c r="D1" s="39" t="n">
        <f aca="false">SUM(D4:D10)</f>
        <v>271720</v>
      </c>
    </row>
    <row r="3" customFormat="false" ht="12.8" hidden="false" customHeight="false" outlineLevel="0" collapsed="false">
      <c r="B3" s="42" t="s">
        <v>38</v>
      </c>
      <c r="C3" s="42" t="s">
        <v>39</v>
      </c>
      <c r="D3" s="42" t="s">
        <v>40</v>
      </c>
      <c r="E3" s="43" t="s">
        <v>41</v>
      </c>
    </row>
    <row r="4" customFormat="false" ht="12.8" hidden="false" customHeight="false" outlineLevel="0" collapsed="false">
      <c r="A4" s="44" t="s">
        <v>42</v>
      </c>
      <c r="B4" s="45" t="n">
        <v>9000</v>
      </c>
      <c r="C4" s="1" t="n">
        <v>7</v>
      </c>
      <c r="D4" s="1" t="n">
        <f aca="false">+B4*C4</f>
        <v>63000</v>
      </c>
      <c r="E4" s="46" t="n">
        <f aca="false">+D4/$D$1</f>
        <v>0.231856322685117</v>
      </c>
    </row>
    <row r="5" customFormat="false" ht="12.8" hidden="false" customHeight="false" outlineLevel="0" collapsed="false">
      <c r="A5" s="44" t="s">
        <v>43</v>
      </c>
      <c r="B5" s="45" t="n">
        <v>8200</v>
      </c>
      <c r="C5" s="1" t="n">
        <v>11</v>
      </c>
      <c r="D5" s="1" t="n">
        <f aca="false">+B5*C5</f>
        <v>90200</v>
      </c>
      <c r="E5" s="46" t="n">
        <f aca="false">+D5/$D$1</f>
        <v>0.331959369939644</v>
      </c>
    </row>
    <row r="6" customFormat="false" ht="12.8" hidden="false" customHeight="false" outlineLevel="0" collapsed="false">
      <c r="A6" s="44" t="s">
        <v>44</v>
      </c>
      <c r="B6" s="45" t="n">
        <v>10400</v>
      </c>
      <c r="C6" s="1" t="n">
        <v>3.7</v>
      </c>
      <c r="D6" s="1" t="n">
        <f aca="false">+B6*C6</f>
        <v>38480</v>
      </c>
      <c r="E6" s="46" t="n">
        <f aca="false">+D6/$D$1</f>
        <v>0.141616369792433</v>
      </c>
    </row>
    <row r="7" customFormat="false" ht="12.8" hidden="false" customHeight="false" outlineLevel="0" collapsed="false">
      <c r="A7" s="44" t="s">
        <v>22</v>
      </c>
      <c r="B7" s="45" t="n">
        <v>8600</v>
      </c>
      <c r="C7" s="1" t="n">
        <v>5</v>
      </c>
      <c r="D7" s="1" t="n">
        <f aca="false">+B7*C7</f>
        <v>43000</v>
      </c>
      <c r="E7" s="46" t="n">
        <f aca="false">+D7/$D$1</f>
        <v>0.158251140880318</v>
      </c>
    </row>
    <row r="8" customFormat="false" ht="12.8" hidden="false" customHeight="false" outlineLevel="0" collapsed="false">
      <c r="A8" s="44" t="s">
        <v>45</v>
      </c>
      <c r="B8" s="45" t="n">
        <v>7200</v>
      </c>
      <c r="C8" s="1" t="n">
        <v>2</v>
      </c>
      <c r="D8" s="1" t="n">
        <f aca="false">+B8*C8</f>
        <v>14400</v>
      </c>
      <c r="E8" s="46" t="n">
        <f aca="false">+D8/$D$1</f>
        <v>0.0529957308994553</v>
      </c>
    </row>
    <row r="9" customFormat="false" ht="12.8" hidden="false" customHeight="false" outlineLevel="0" collapsed="false">
      <c r="A9" s="44" t="s">
        <v>23</v>
      </c>
      <c r="B9" s="45" t="n">
        <v>1760</v>
      </c>
      <c r="C9" s="1" t="n">
        <v>4</v>
      </c>
      <c r="D9" s="1" t="n">
        <f aca="false">+B9*C9</f>
        <v>7040</v>
      </c>
      <c r="E9" s="46" t="n">
        <f aca="false">+D9/$D$1</f>
        <v>0.0259090239952893</v>
      </c>
    </row>
    <row r="10" customFormat="false" ht="12.8" hidden="false" customHeight="false" outlineLevel="0" collapsed="false">
      <c r="A10" s="44" t="s">
        <v>20</v>
      </c>
      <c r="B10" s="45" t="n">
        <v>5200</v>
      </c>
      <c r="C10" s="1" t="n">
        <v>3</v>
      </c>
      <c r="D10" s="1" t="n">
        <f aca="false">+B10*C10</f>
        <v>15600</v>
      </c>
      <c r="E10" s="46" t="n">
        <f aca="false">+D10/$D$1</f>
        <v>0.0574120418077433</v>
      </c>
    </row>
    <row r="11" customFormat="false" ht="12.8" hidden="false" customHeight="false" outlineLevel="0" collapsed="false">
      <c r="E11" s="47"/>
    </row>
    <row r="12" customFormat="false" ht="12.8" hidden="false" customHeight="false" outlineLevel="0" collapsed="false">
      <c r="A12" s="0" t="s">
        <v>46</v>
      </c>
      <c r="B12" s="45" t="n">
        <v>12000</v>
      </c>
      <c r="E12" s="47"/>
    </row>
    <row r="13" customFormat="false" ht="12.8" hidden="false" customHeight="false" outlineLevel="0" collapsed="false">
      <c r="E13" s="47"/>
    </row>
    <row r="14" customFormat="false" ht="12.8" hidden="false" customHeight="false" outlineLevel="0" collapsed="false">
      <c r="A14" s="0" t="s">
        <v>47</v>
      </c>
      <c r="B14" s="0" t="n">
        <f aca="false">+D1/B12</f>
        <v>22.6433333333333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C4" activeCellId="0" sqref="C4"/>
    </sheetView>
  </sheetViews>
  <sheetFormatPr defaultRowHeight="12.8" zeroHeight="false" outlineLevelRow="0" outlineLevelCol="0"/>
  <cols>
    <col collapsed="false" customWidth="true" hidden="false" outlineLevel="0" max="1" min="1" style="0" width="14.17"/>
    <col collapsed="false" customWidth="true" hidden="false" outlineLevel="0" max="2" min="2" style="0" width="9.42"/>
    <col collapsed="false" customWidth="true" hidden="false" outlineLevel="0" max="3" min="3" style="0" width="9.49"/>
    <col collapsed="false" customWidth="true" hidden="false" outlineLevel="0" max="4" min="4" style="0" width="10.29"/>
    <col collapsed="false" customWidth="true" hidden="false" outlineLevel="0" max="5" min="5" style="0" width="6.9"/>
    <col collapsed="false" customWidth="true" hidden="false" outlineLevel="0" max="7" min="6" style="0" width="6.26"/>
    <col collapsed="false" customWidth="true" hidden="false" outlineLevel="0" max="8" min="8" style="0" width="6.54"/>
    <col collapsed="false" customWidth="true" hidden="false" outlineLevel="0" max="9" min="9" style="0" width="8.13"/>
    <col collapsed="false" customWidth="true" hidden="false" outlineLevel="0" max="10" min="10" style="0" width="6.33"/>
    <col collapsed="false" customWidth="true" hidden="false" outlineLevel="0" max="11" min="11" style="0" width="6.47"/>
    <col collapsed="false" customWidth="true" hidden="false" outlineLevel="0" max="12" min="12" style="0" width="6.33"/>
    <col collapsed="false" customWidth="false" hidden="false" outlineLevel="0" max="1025" min="13" style="0" width="11.52"/>
  </cols>
  <sheetData>
    <row r="1" customFormat="false" ht="12.8" hidden="false" customHeight="false" outlineLevel="0" collapsed="false">
      <c r="A1" s="0" t="s">
        <v>48</v>
      </c>
    </row>
    <row r="2" customFormat="false" ht="12.8" hidden="false" customHeight="false" outlineLevel="0" collapsed="false">
      <c r="E2" s="48" t="s">
        <v>49</v>
      </c>
      <c r="F2" s="48"/>
      <c r="G2" s="48" t="s">
        <v>50</v>
      </c>
      <c r="H2" s="48"/>
      <c r="I2" s="48" t="s">
        <v>51</v>
      </c>
      <c r="J2" s="48"/>
      <c r="K2" s="48" t="s">
        <v>52</v>
      </c>
      <c r="L2" s="48"/>
    </row>
    <row r="3" s="49" customFormat="true" ht="20.2" hidden="false" customHeight="false" outlineLevel="0" collapsed="false">
      <c r="B3" s="50" t="s">
        <v>53</v>
      </c>
      <c r="C3" s="50" t="s">
        <v>27</v>
      </c>
      <c r="D3" s="50" t="s">
        <v>54</v>
      </c>
      <c r="E3" s="51" t="s">
        <v>55</v>
      </c>
      <c r="F3" s="51" t="s">
        <v>56</v>
      </c>
      <c r="G3" s="51" t="s">
        <v>55</v>
      </c>
      <c r="H3" s="51" t="s">
        <v>56</v>
      </c>
      <c r="I3" s="51" t="s">
        <v>55</v>
      </c>
      <c r="J3" s="51" t="s">
        <v>56</v>
      </c>
      <c r="K3" s="51" t="s">
        <v>55</v>
      </c>
      <c r="L3" s="51" t="s">
        <v>56</v>
      </c>
      <c r="M3" s="49" t="s">
        <v>57</v>
      </c>
    </row>
    <row r="4" customFormat="false" ht="12.8" hidden="false" customHeight="false" outlineLevel="0" collapsed="false">
      <c r="A4" s="44" t="s">
        <v>58</v>
      </c>
      <c r="B4" s="52" t="n">
        <v>23000</v>
      </c>
      <c r="C4" s="53" t="n">
        <v>0.23</v>
      </c>
      <c r="D4" s="53" t="n">
        <f aca="false">+B4*C4</f>
        <v>5290</v>
      </c>
      <c r="E4" s="54" t="n">
        <v>6000</v>
      </c>
      <c r="F4" s="0" t="n">
        <f aca="false">+E4*C4</f>
        <v>1380</v>
      </c>
      <c r="G4" s="54" t="n">
        <v>5000</v>
      </c>
      <c r="H4" s="0" t="n">
        <f aca="false">+G4*C4</f>
        <v>1150</v>
      </c>
      <c r="I4" s="54" t="n">
        <f aca="false">+B4-E4-G4-K4</f>
        <v>11000</v>
      </c>
      <c r="J4" s="0" t="n">
        <f aca="false">+I4*C4</f>
        <v>2530</v>
      </c>
      <c r="K4" s="54" t="n">
        <v>1000</v>
      </c>
      <c r="L4" s="0" t="n">
        <f aca="false">+K4*C4</f>
        <v>230</v>
      </c>
      <c r="M4" s="0" t="n">
        <f aca="false">+B4-(+E4+G4+I4+K4)</f>
        <v>0</v>
      </c>
    </row>
    <row r="5" customFormat="false" ht="12.8" hidden="false" customHeight="false" outlineLevel="0" collapsed="false">
      <c r="A5" s="44" t="s">
        <v>59</v>
      </c>
      <c r="B5" s="52" t="n">
        <v>6400</v>
      </c>
      <c r="C5" s="53" t="n">
        <v>0.8</v>
      </c>
      <c r="D5" s="53" t="n">
        <f aca="false">+B5*C5</f>
        <v>5120</v>
      </c>
      <c r="E5" s="54" t="n">
        <v>5000</v>
      </c>
      <c r="F5" s="0" t="n">
        <f aca="false">+E5*C5</f>
        <v>4000</v>
      </c>
      <c r="G5" s="54"/>
      <c r="I5" s="54" t="n">
        <f aca="false">+B5-E5-G5</f>
        <v>1400</v>
      </c>
      <c r="J5" s="0" t="n">
        <f aca="false">+I5*C5</f>
        <v>1120</v>
      </c>
      <c r="K5" s="54"/>
      <c r="M5" s="0" t="n">
        <f aca="false">+B5-(+E5+G5+I5+K5)</f>
        <v>0</v>
      </c>
    </row>
    <row r="6" customFormat="false" ht="12.8" hidden="false" customHeight="false" outlineLevel="0" collapsed="false">
      <c r="A6" s="44" t="s">
        <v>35</v>
      </c>
      <c r="B6" s="52" t="n">
        <v>10000</v>
      </c>
      <c r="C6" s="53" t="n">
        <v>0.087</v>
      </c>
      <c r="D6" s="53" t="n">
        <f aca="false">+B6*C6</f>
        <v>870</v>
      </c>
      <c r="E6" s="54"/>
      <c r="G6" s="54"/>
      <c r="I6" s="54" t="n">
        <f aca="false">+B6-K6</f>
        <v>7000</v>
      </c>
      <c r="J6" s="0" t="n">
        <f aca="false">+I6*C6</f>
        <v>609</v>
      </c>
      <c r="K6" s="54" t="n">
        <v>3000</v>
      </c>
      <c r="L6" s="0" t="n">
        <f aca="false">+K6*C6</f>
        <v>261</v>
      </c>
      <c r="M6" s="0" t="n">
        <f aca="false">+B6-(+E6+G6+I6+K6)</f>
        <v>0</v>
      </c>
    </row>
    <row r="7" customFormat="false" ht="12.8" hidden="false" customHeight="false" outlineLevel="0" collapsed="false">
      <c r="E7" s="54"/>
      <c r="G7" s="54"/>
      <c r="I7" s="54"/>
      <c r="K7" s="54"/>
    </row>
    <row r="8" customFormat="false" ht="12.8" hidden="false" customHeight="false" outlineLevel="0" collapsed="false">
      <c r="A8" s="0" t="s">
        <v>60</v>
      </c>
      <c r="B8" s="55" t="n">
        <f aca="false">SUM(B4:B7)</f>
        <v>39400</v>
      </c>
      <c r="C8" s="55"/>
      <c r="D8" s="55" t="n">
        <f aca="false">SUM(D4:D7)</f>
        <v>11280</v>
      </c>
      <c r="E8" s="56" t="n">
        <f aca="false">SUM(E4:E7)</f>
        <v>11000</v>
      </c>
      <c r="F8" s="55" t="n">
        <f aca="false">SUM(F4:F7)</f>
        <v>5380</v>
      </c>
      <c r="G8" s="56" t="n">
        <f aca="false">SUM(G4:G7)</f>
        <v>5000</v>
      </c>
      <c r="H8" s="55" t="n">
        <f aca="false">SUM(H4:H7)</f>
        <v>1150</v>
      </c>
      <c r="I8" s="56" t="n">
        <f aca="false">SUM(I4:I7)</f>
        <v>19400</v>
      </c>
      <c r="J8" s="55" t="n">
        <f aca="false">SUM(J4:J7)</f>
        <v>4259</v>
      </c>
      <c r="K8" s="56" t="n">
        <f aca="false">SUM(K4:K7)</f>
        <v>4000</v>
      </c>
      <c r="L8" s="55" t="n">
        <f aca="false">SUM(L4:L7)</f>
        <v>491</v>
      </c>
    </row>
  </sheetData>
  <mergeCells count="4">
    <mergeCell ref="E2:F2"/>
    <mergeCell ref="G2:H2"/>
    <mergeCell ref="I2:J2"/>
    <mergeCell ref="K2:L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3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C17" activeCellId="0" sqref="C17"/>
    </sheetView>
  </sheetViews>
  <sheetFormatPr defaultRowHeight="12.8" zeroHeight="false" outlineLevelRow="0" outlineLevelCol="0"/>
  <cols>
    <col collapsed="false" customWidth="true" hidden="false" outlineLevel="0" max="1" min="1" style="0" width="14.24"/>
    <col collapsed="false" customWidth="true" hidden="false" outlineLevel="0" max="2" min="2" style="0" width="7.65"/>
    <col collapsed="false" customWidth="true" hidden="false" outlineLevel="0" max="3" min="3" style="0" width="9.78"/>
    <col collapsed="false" customWidth="true" hidden="false" outlineLevel="0" max="4" min="4" style="0" width="9.57"/>
    <col collapsed="false" customWidth="true" hidden="false" outlineLevel="0" max="5" min="5" style="0" width="9.42"/>
    <col collapsed="false" customWidth="true" hidden="false" outlineLevel="0" max="6" min="6" style="0" width="8.92"/>
    <col collapsed="false" customWidth="true" hidden="false" outlineLevel="0" max="7" min="7" style="0" width="7.41"/>
    <col collapsed="false" customWidth="true" hidden="false" outlineLevel="0" max="8" min="8" style="0" width="9.49"/>
    <col collapsed="false" customWidth="true" hidden="false" outlineLevel="0" max="9" min="9" style="0" width="6.61"/>
    <col collapsed="false" customWidth="true" hidden="false" outlineLevel="0" max="10" min="10" style="0" width="10.07"/>
    <col collapsed="false" customWidth="true" hidden="false" outlineLevel="0" max="11" min="11" style="0" width="7.65"/>
    <col collapsed="false" customWidth="true" hidden="false" outlineLevel="0" max="12" min="12" style="0" width="9.57"/>
    <col collapsed="false" customWidth="false" hidden="false" outlineLevel="0" max="1025" min="13" style="0" width="11.52"/>
  </cols>
  <sheetData>
    <row r="1" customFormat="false" ht="12.8" hidden="false" customHeight="false" outlineLevel="0" collapsed="false">
      <c r="A1" s="0" t="s">
        <v>61</v>
      </c>
    </row>
    <row r="2" customFormat="false" ht="12.8" hidden="false" customHeight="false" outlineLevel="0" collapsed="false">
      <c r="B2" s="57"/>
      <c r="C2" s="57"/>
      <c r="D2" s="57"/>
      <c r="E2" s="48" t="s">
        <v>51</v>
      </c>
      <c r="F2" s="48"/>
      <c r="G2" s="48" t="s">
        <v>62</v>
      </c>
      <c r="H2" s="48"/>
      <c r="I2" s="48" t="s">
        <v>52</v>
      </c>
      <c r="J2" s="48"/>
      <c r="K2" s="48" t="s">
        <v>63</v>
      </c>
      <c r="L2" s="48"/>
    </row>
    <row r="3" s="49" customFormat="true" ht="20.2" hidden="false" customHeight="false" outlineLevel="0" collapsed="false">
      <c r="B3" s="50" t="s">
        <v>64</v>
      </c>
      <c r="C3" s="50" t="s">
        <v>56</v>
      </c>
      <c r="D3" s="50" t="s">
        <v>65</v>
      </c>
      <c r="E3" s="58" t="s">
        <v>64</v>
      </c>
      <c r="F3" s="58" t="s">
        <v>56</v>
      </c>
      <c r="G3" s="58" t="s">
        <v>64</v>
      </c>
      <c r="H3" s="58" t="s">
        <v>56</v>
      </c>
      <c r="I3" s="58" t="s">
        <v>64</v>
      </c>
      <c r="J3" s="58" t="s">
        <v>56</v>
      </c>
      <c r="K3" s="58" t="s">
        <v>64</v>
      </c>
      <c r="L3" s="58" t="s">
        <v>56</v>
      </c>
    </row>
    <row r="4" customFormat="false" ht="12.8" hidden="false" customHeight="false" outlineLevel="0" collapsed="false">
      <c r="A4" s="59" t="s">
        <v>51</v>
      </c>
      <c r="B4" s="52" t="n">
        <v>5428</v>
      </c>
      <c r="C4" s="60" t="n">
        <v>63000</v>
      </c>
      <c r="D4" s="61" t="n">
        <f aca="false">+C4/B4</f>
        <v>11.6064848931466</v>
      </c>
      <c r="E4" s="0" t="n">
        <f aca="false">+B4-I4-K4</f>
        <v>5198</v>
      </c>
      <c r="F4" s="1" t="n">
        <f aca="false">+E4*D4</f>
        <v>60330.5084745763</v>
      </c>
      <c r="H4" s="1"/>
      <c r="I4" s="0" t="n">
        <v>200</v>
      </c>
      <c r="J4" s="62" t="n">
        <f aca="false">+I4*D4</f>
        <v>2321.29697862933</v>
      </c>
      <c r="K4" s="0" t="n">
        <v>30</v>
      </c>
      <c r="L4" s="1" t="n">
        <f aca="false">+K4*D4</f>
        <v>348.194546794399</v>
      </c>
    </row>
    <row r="5" customFormat="false" ht="12.8" hidden="false" customHeight="false" outlineLevel="0" collapsed="false">
      <c r="A5" s="59" t="s">
        <v>62</v>
      </c>
      <c r="B5" s="52" t="n">
        <v>2820</v>
      </c>
      <c r="C5" s="60" t="n">
        <v>41000</v>
      </c>
      <c r="D5" s="61" t="n">
        <f aca="false">+C5/B5</f>
        <v>14.5390070921986</v>
      </c>
      <c r="F5" s="1"/>
      <c r="G5" s="0" t="n">
        <f aca="false">+B5-I5-K5</f>
        <v>2500</v>
      </c>
      <c r="H5" s="1" t="n">
        <f aca="false">+G5*D5</f>
        <v>36347.5177304965</v>
      </c>
      <c r="I5" s="0" t="n">
        <v>300</v>
      </c>
      <c r="J5" s="62" t="n">
        <f aca="false">+I5*D5</f>
        <v>4361.70212765957</v>
      </c>
      <c r="K5" s="0" t="n">
        <v>20</v>
      </c>
      <c r="L5" s="1" t="n">
        <f aca="false">+K5*D5</f>
        <v>290.780141843972</v>
      </c>
    </row>
    <row r="6" customFormat="false" ht="12.8" hidden="false" customHeight="false" outlineLevel="0" collapsed="false">
      <c r="A6" s="59" t="s">
        <v>63</v>
      </c>
      <c r="B6" s="52" t="n">
        <v>70</v>
      </c>
      <c r="C6" s="60" t="n">
        <v>2500</v>
      </c>
      <c r="D6" s="61" t="n">
        <f aca="false">+C6/B6</f>
        <v>35.7142857142857</v>
      </c>
      <c r="F6" s="1"/>
      <c r="H6" s="1"/>
      <c r="K6" s="45" t="n">
        <f aca="false">+B6</f>
        <v>70</v>
      </c>
      <c r="L6" s="1" t="n">
        <f aca="false">+C6</f>
        <v>2500</v>
      </c>
    </row>
    <row r="7" customFormat="false" ht="12.8" hidden="false" customHeight="false" outlineLevel="0" collapsed="false">
      <c r="B7" s="45"/>
      <c r="C7" s="1"/>
      <c r="H7" s="1"/>
    </row>
    <row r="8" customFormat="false" ht="12.8" hidden="false" customHeight="false" outlineLevel="0" collapsed="false">
      <c r="A8" s="0" t="s">
        <v>60</v>
      </c>
      <c r="B8" s="63" t="n">
        <f aca="false">SUM(B4:B7)</f>
        <v>8318</v>
      </c>
      <c r="C8" s="64" t="n">
        <f aca="false">SUM(C4:C7)</f>
        <v>106500</v>
      </c>
      <c r="D8" s="63" t="n">
        <f aca="false">+C8/B8</f>
        <v>12.8035585477278</v>
      </c>
      <c r="E8" s="63" t="n">
        <f aca="false">SUM(E4:E7)</f>
        <v>5198</v>
      </c>
      <c r="F8" s="63" t="n">
        <f aca="false">SUM(F4:F7)</f>
        <v>60330.5084745763</v>
      </c>
      <c r="G8" s="63" t="n">
        <f aca="false">SUM(G4:G7)</f>
        <v>2500</v>
      </c>
      <c r="H8" s="64" t="n">
        <f aca="false">SUM(H4:H7)</f>
        <v>36347.5177304965</v>
      </c>
      <c r="I8" s="63" t="n">
        <f aca="false">SUM(I4:I7)</f>
        <v>500</v>
      </c>
      <c r="J8" s="63" t="n">
        <f aca="false">SUM(J4:J7)</f>
        <v>6682.9991062889</v>
      </c>
      <c r="K8" s="63" t="n">
        <f aca="false">SUM(K4:K7)</f>
        <v>120</v>
      </c>
      <c r="L8" s="63" t="n">
        <f aca="false">SUM(L4:L7)</f>
        <v>3138.97468863837</v>
      </c>
      <c r="M8" s="0" t="n">
        <f aca="false">+L8+J8+H8+F8-C8</f>
        <v>0</v>
      </c>
    </row>
    <row r="9" customFormat="false" ht="12.8" hidden="false" customHeight="false" outlineLevel="0" collapsed="false">
      <c r="B9" s="45"/>
    </row>
    <row r="11" customFormat="false" ht="12.8" hidden="false" customHeight="false" outlineLevel="0" collapsed="false">
      <c r="A11" s="0" t="s">
        <v>66</v>
      </c>
    </row>
    <row r="12" customFormat="false" ht="12.8" hidden="false" customHeight="false" outlineLevel="0" collapsed="false">
      <c r="F12" s="65" t="s">
        <v>67</v>
      </c>
      <c r="G12" s="66"/>
    </row>
    <row r="13" customFormat="false" ht="12.8" hidden="false" customHeight="false" outlineLevel="0" collapsed="false">
      <c r="B13" s="54" t="s">
        <v>38</v>
      </c>
      <c r="C13" s="54" t="s">
        <v>68</v>
      </c>
      <c r="D13" s="54" t="s">
        <v>69</v>
      </c>
      <c r="E13" s="54" t="s">
        <v>56</v>
      </c>
      <c r="F13" s="66" t="s">
        <v>70</v>
      </c>
      <c r="G13" s="66" t="s">
        <v>71</v>
      </c>
    </row>
    <row r="14" customFormat="false" ht="12.8" hidden="false" customHeight="false" outlineLevel="0" collapsed="false">
      <c r="A14" s="44" t="s">
        <v>42</v>
      </c>
      <c r="B14" s="45" t="n">
        <v>9000</v>
      </c>
      <c r="C14" s="0" t="n">
        <v>0.18</v>
      </c>
      <c r="D14" s="0" t="n">
        <f aca="false">+C14*B14</f>
        <v>1620</v>
      </c>
      <c r="E14" s="2" t="n">
        <f aca="false">+D14*$D$4</f>
        <v>18802.5055268976</v>
      </c>
      <c r="F14" s="66" t="n">
        <f aca="false">+60*C14</f>
        <v>10.8</v>
      </c>
      <c r="G14" s="66" t="n">
        <f aca="false">+F14*B14</f>
        <v>97200</v>
      </c>
    </row>
    <row r="15" customFormat="false" ht="12.8" hidden="false" customHeight="false" outlineLevel="0" collapsed="false">
      <c r="A15" s="44" t="s">
        <v>43</v>
      </c>
      <c r="B15" s="45" t="n">
        <v>8200</v>
      </c>
      <c r="C15" s="0" t="n">
        <v>0.23463415</v>
      </c>
      <c r="D15" s="0" t="n">
        <f aca="false">+C15*B15</f>
        <v>1924.00003</v>
      </c>
      <c r="E15" s="2" t="n">
        <f aca="false">+D15*$D$4</f>
        <v>22330.8772826087</v>
      </c>
      <c r="F15" s="66" t="n">
        <f aca="false">+60*C15</f>
        <v>14.078049</v>
      </c>
      <c r="G15" s="66" t="n">
        <f aca="false">+F15*B15</f>
        <v>115440.0018</v>
      </c>
    </row>
    <row r="16" customFormat="false" ht="12.8" hidden="false" customHeight="false" outlineLevel="0" collapsed="false">
      <c r="A16" s="44" t="s">
        <v>44</v>
      </c>
      <c r="B16" s="45" t="n">
        <v>10400</v>
      </c>
      <c r="C16" s="0" t="n">
        <v>0.05</v>
      </c>
      <c r="D16" s="0" t="n">
        <f aca="false">+C16*B16</f>
        <v>520</v>
      </c>
      <c r="E16" s="2" t="n">
        <f aca="false">+D16*$D$4</f>
        <v>6035.37214443626</v>
      </c>
      <c r="F16" s="66" t="n">
        <f aca="false">+60*C16</f>
        <v>3</v>
      </c>
      <c r="G16" s="66" t="n">
        <f aca="false">+F16*B16</f>
        <v>31200</v>
      </c>
    </row>
    <row r="17" customFormat="false" ht="12.8" hidden="false" customHeight="false" outlineLevel="0" collapsed="false">
      <c r="A17" s="44" t="s">
        <v>22</v>
      </c>
      <c r="B17" s="45" t="n">
        <v>8600</v>
      </c>
      <c r="C17" s="0" t="n">
        <v>0.09</v>
      </c>
      <c r="D17" s="0" t="n">
        <f aca="false">+C17*B17</f>
        <v>774</v>
      </c>
      <c r="E17" s="2" t="n">
        <f aca="false">+D17*$D$4</f>
        <v>8983.4193072955</v>
      </c>
      <c r="F17" s="66" t="n">
        <f aca="false">+60*C17</f>
        <v>5.4</v>
      </c>
      <c r="G17" s="66" t="n">
        <f aca="false">+F17*B17</f>
        <v>46440</v>
      </c>
    </row>
    <row r="18" customFormat="false" ht="12.8" hidden="false" customHeight="false" outlineLevel="0" collapsed="false">
      <c r="A18" s="44" t="s">
        <v>45</v>
      </c>
      <c r="B18" s="45" t="n">
        <v>7200</v>
      </c>
      <c r="C18" s="0" t="n">
        <v>0.05</v>
      </c>
      <c r="D18" s="0" t="n">
        <f aca="false">+C18*B18</f>
        <v>360</v>
      </c>
      <c r="E18" s="2" t="n">
        <f aca="false">+D18*$D$4</f>
        <v>4178.33456153279</v>
      </c>
      <c r="F18" s="66" t="n">
        <f aca="false">+60*C18</f>
        <v>3</v>
      </c>
      <c r="G18" s="66" t="n">
        <f aca="false">+F18*B18</f>
        <v>21600</v>
      </c>
    </row>
    <row r="19" customFormat="false" ht="12.8" hidden="false" customHeight="false" outlineLevel="0" collapsed="false">
      <c r="A19" s="44" t="s">
        <v>23</v>
      </c>
      <c r="B19" s="45" t="n">
        <v>1760</v>
      </c>
      <c r="D19" s="0" t="n">
        <f aca="false">+C19*B19</f>
        <v>0</v>
      </c>
      <c r="E19" s="2" t="n">
        <f aca="false">+D19*$D$4</f>
        <v>0</v>
      </c>
      <c r="F19" s="66" t="n">
        <f aca="false">+60*C19</f>
        <v>0</v>
      </c>
      <c r="G19" s="66" t="n">
        <f aca="false">+F19*B19</f>
        <v>0</v>
      </c>
    </row>
    <row r="20" customFormat="false" ht="12.8" hidden="false" customHeight="false" outlineLevel="0" collapsed="false">
      <c r="A20" s="44" t="s">
        <v>20</v>
      </c>
      <c r="B20" s="45" t="n">
        <v>5200</v>
      </c>
      <c r="D20" s="0" t="n">
        <f aca="false">+C20*B20</f>
        <v>0</v>
      </c>
      <c r="E20" s="2" t="n">
        <f aca="false">+D20*$D$4</f>
        <v>0</v>
      </c>
      <c r="F20" s="66" t="n">
        <f aca="false">+60*C20</f>
        <v>0</v>
      </c>
      <c r="G20" s="66" t="n">
        <f aca="false">+F20*B20</f>
        <v>0</v>
      </c>
    </row>
    <row r="21" customFormat="false" ht="12.8" hidden="false" customHeight="false" outlineLevel="0" collapsed="false">
      <c r="E21" s="1"/>
      <c r="F21" s="66"/>
      <c r="G21" s="66"/>
    </row>
    <row r="22" customFormat="false" ht="12.8" hidden="false" customHeight="false" outlineLevel="0" collapsed="false">
      <c r="A22" s="0" t="s">
        <v>72</v>
      </c>
      <c r="C22" s="55"/>
      <c r="D22" s="55" t="n">
        <f aca="false">SUM(D14:D20)</f>
        <v>5198.00003</v>
      </c>
      <c r="E22" s="64" t="n">
        <f aca="false">SUM(E14:E20)</f>
        <v>60330.5088227708</v>
      </c>
      <c r="F22" s="67" t="n">
        <f aca="false">SUM(F14:F20)</f>
        <v>36.278049</v>
      </c>
      <c r="G22" s="67" t="n">
        <f aca="false">SUM(G14:G20)</f>
        <v>311880.0018</v>
      </c>
    </row>
    <row r="23" customFormat="false" ht="12.8" hidden="false" customHeight="false" outlineLevel="0" collapsed="false">
      <c r="F23" s="66" t="s">
        <v>73</v>
      </c>
      <c r="G23" s="66" t="n">
        <f aca="false">+G22/60</f>
        <v>5198.00003</v>
      </c>
    </row>
  </sheetData>
  <mergeCells count="4">
    <mergeCell ref="E2:F2"/>
    <mergeCell ref="G2:H2"/>
    <mergeCell ref="I2:J2"/>
    <mergeCell ref="K2:L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11"/>
  <sheetViews>
    <sheetView showFormulas="false" showGridLines="true" showRowColHeaders="true" showZeros="true" rightToLeft="false" tabSelected="false" showOutlineSymbols="true" defaultGridColor="true" view="normal" topLeftCell="A2" colorId="64" zoomScale="150" zoomScaleNormal="150" zoomScalePageLayoutView="100" workbookViewId="0">
      <selection pane="topLeft" activeCell="G5" activeCellId="0" sqref="G5"/>
    </sheetView>
  </sheetViews>
  <sheetFormatPr defaultRowHeight="12.8" zeroHeight="false" outlineLevelRow="0" outlineLevelCol="0"/>
  <cols>
    <col collapsed="false" customWidth="true" hidden="false" outlineLevel="0" max="1" min="1" style="0" width="13.96"/>
    <col collapsed="false" customWidth="true" hidden="false" outlineLevel="0" max="2" min="2" style="0" width="8.48"/>
    <col collapsed="false" customWidth="true" hidden="false" outlineLevel="0" max="3" min="3" style="0" width="9.64"/>
    <col collapsed="false" customWidth="true" hidden="false" outlineLevel="0" max="4" min="4" style="0" width="6.69"/>
    <col collapsed="false" customWidth="true" hidden="false" outlineLevel="0" max="5" min="5" style="0" width="7.12"/>
    <col collapsed="false" customWidth="true" hidden="false" outlineLevel="0" max="6" min="6" style="0" width="8.78"/>
    <col collapsed="false" customWidth="true" hidden="false" outlineLevel="0" max="8" min="7" style="0" width="7.69"/>
    <col collapsed="false" customWidth="true" hidden="false" outlineLevel="0" max="9" min="9" style="0" width="7.26"/>
    <col collapsed="false" customWidth="true" hidden="false" outlineLevel="0" max="10" min="10" style="0" width="7.55"/>
    <col collapsed="false" customWidth="true" hidden="false" outlineLevel="0" max="11" min="11" style="0" width="8.06"/>
    <col collapsed="false" customWidth="true" hidden="false" outlineLevel="0" max="12" min="12" style="0" width="8.89"/>
    <col collapsed="false" customWidth="true" hidden="false" outlineLevel="0" max="13" min="13" style="0" width="7.34"/>
    <col collapsed="false" customWidth="true" hidden="false" outlineLevel="0" max="14" min="14" style="0" width="7.19"/>
    <col collapsed="false" customWidth="true" hidden="false" outlineLevel="0" max="15" min="15" style="0" width="7.26"/>
    <col collapsed="false" customWidth="true" hidden="false" outlineLevel="0" max="16" min="16" style="0" width="7.05"/>
    <col collapsed="false" customWidth="true" hidden="false" outlineLevel="0" max="17" min="17" style="0" width="7.69"/>
    <col collapsed="false" customWidth="true" hidden="false" outlineLevel="0" max="18" min="18" style="0" width="8.2"/>
    <col collapsed="false" customWidth="true" hidden="false" outlineLevel="0" max="19" min="19" style="0" width="6.9"/>
    <col collapsed="false" customWidth="true" hidden="false" outlineLevel="0" max="20" min="20" style="0" width="7.41"/>
    <col collapsed="false" customWidth="false" hidden="false" outlineLevel="0" max="1025" min="21" style="0" width="11.52"/>
  </cols>
  <sheetData>
    <row r="1" customFormat="false" ht="12.8" hidden="false" customHeight="false" outlineLevel="0" collapsed="false">
      <c r="A1" s="0" t="s">
        <v>74</v>
      </c>
    </row>
    <row r="2" customFormat="false" ht="12.8" hidden="false" customHeight="false" outlineLevel="0" collapsed="false">
      <c r="G2" s="68" t="s">
        <v>75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="49" customFormat="true" ht="33" hidden="false" customHeight="true" outlineLevel="0" collapsed="false">
      <c r="B3" s="69" t="s">
        <v>76</v>
      </c>
      <c r="C3" s="69" t="s">
        <v>77</v>
      </c>
      <c r="D3" s="69" t="s">
        <v>28</v>
      </c>
      <c r="E3" s="69" t="s">
        <v>78</v>
      </c>
      <c r="F3" s="69" t="s">
        <v>65</v>
      </c>
      <c r="G3" s="70" t="s">
        <v>42</v>
      </c>
      <c r="H3" s="71" t="s">
        <v>79</v>
      </c>
      <c r="I3" s="70" t="s">
        <v>32</v>
      </c>
      <c r="J3" s="71" t="s">
        <v>79</v>
      </c>
      <c r="K3" s="70" t="s">
        <v>22</v>
      </c>
      <c r="L3" s="71" t="s">
        <v>79</v>
      </c>
      <c r="M3" s="70" t="s">
        <v>21</v>
      </c>
      <c r="N3" s="71" t="s">
        <v>79</v>
      </c>
      <c r="O3" s="70" t="s">
        <v>24</v>
      </c>
      <c r="P3" s="71" t="s">
        <v>79</v>
      </c>
      <c r="Q3" s="70" t="s">
        <v>20</v>
      </c>
      <c r="R3" s="71" t="s">
        <v>79</v>
      </c>
      <c r="S3" s="72" t="s">
        <v>52</v>
      </c>
      <c r="T3" s="73" t="s">
        <v>79</v>
      </c>
      <c r="U3" s="49" t="s">
        <v>80</v>
      </c>
    </row>
    <row r="4" customFormat="false" ht="12.8" hidden="false" customHeight="false" outlineLevel="0" collapsed="false">
      <c r="A4" s="44" t="s">
        <v>81</v>
      </c>
      <c r="B4" s="0" t="n">
        <v>1200</v>
      </c>
      <c r="C4" s="0" t="n">
        <v>3900</v>
      </c>
      <c r="D4" s="0" t="n">
        <f aca="false">+B4+C4*consumi!$C$4</f>
        <v>2097</v>
      </c>
      <c r="E4" s="0" t="n">
        <f aca="false">240*2</f>
        <v>480</v>
      </c>
      <c r="F4" s="62" t="n">
        <f aca="false">D4/E4</f>
        <v>4.36875</v>
      </c>
      <c r="G4" s="74" t="n">
        <v>200</v>
      </c>
      <c r="H4" s="75" t="n">
        <f aca="false">+G4*F4</f>
        <v>873.75</v>
      </c>
      <c r="I4" s="74"/>
      <c r="J4" s="76"/>
      <c r="K4" s="74" t="n">
        <v>280</v>
      </c>
      <c r="L4" s="76" t="n">
        <f aca="false">+K4*F4</f>
        <v>1223.25</v>
      </c>
      <c r="M4" s="74"/>
      <c r="N4" s="75"/>
      <c r="O4" s="74"/>
      <c r="P4" s="75"/>
      <c r="Q4" s="74"/>
      <c r="R4" s="76"/>
      <c r="S4" s="77"/>
      <c r="T4" s="76"/>
      <c r="U4" s="0" t="n">
        <f aca="false">+E4-(+G4+I4+K4+M4+O4+Q4)</f>
        <v>0</v>
      </c>
    </row>
    <row r="5" customFormat="false" ht="12.8" hidden="false" customHeight="false" outlineLevel="0" collapsed="false">
      <c r="A5" s="44" t="s">
        <v>82</v>
      </c>
      <c r="B5" s="0" t="n">
        <v>700</v>
      </c>
      <c r="C5" s="0" t="n">
        <v>3000</v>
      </c>
      <c r="D5" s="0" t="n">
        <f aca="false">+B5+C5*consumi!$C$4</f>
        <v>1390</v>
      </c>
      <c r="E5" s="0" t="n">
        <f aca="false">24*365</f>
        <v>8760</v>
      </c>
      <c r="F5" s="62" t="n">
        <f aca="false">D5/E5</f>
        <v>0.158675799086758</v>
      </c>
      <c r="G5" s="74"/>
      <c r="H5" s="75"/>
      <c r="I5" s="74" t="n">
        <v>3000</v>
      </c>
      <c r="J5" s="76" t="n">
        <f aca="false">+I5*F5</f>
        <v>476.027397260274</v>
      </c>
      <c r="K5" s="74" t="n">
        <v>3000</v>
      </c>
      <c r="L5" s="76" t="n">
        <f aca="false">+K5*F5</f>
        <v>476.027397260274</v>
      </c>
      <c r="M5" s="74" t="n">
        <v>2330</v>
      </c>
      <c r="N5" s="78" t="n">
        <f aca="false">+M5*F5</f>
        <v>369.714611872146</v>
      </c>
      <c r="O5" s="74"/>
      <c r="P5" s="75"/>
      <c r="Q5" s="74" t="n">
        <v>430</v>
      </c>
      <c r="R5" s="76" t="n">
        <f aca="false">+Q5*F5</f>
        <v>68.2305936073059</v>
      </c>
      <c r="S5" s="77"/>
      <c r="T5" s="76"/>
      <c r="U5" s="0" t="n">
        <f aca="false">+E5-(+G5+I5+K5+M5+O5+Q5)</f>
        <v>0</v>
      </c>
    </row>
    <row r="6" customFormat="false" ht="12.8" hidden="false" customHeight="false" outlineLevel="0" collapsed="false">
      <c r="A6" s="44" t="s">
        <v>83</v>
      </c>
      <c r="B6" s="0" t="n">
        <v>500</v>
      </c>
      <c r="C6" s="0" t="n">
        <f aca="false">+consumi!I4-C4-C5</f>
        <v>4100</v>
      </c>
      <c r="D6" s="0" t="n">
        <f aca="false">+B6+C6*consumi!$C$4</f>
        <v>1443</v>
      </c>
      <c r="E6" s="0" t="n">
        <v>600</v>
      </c>
      <c r="F6" s="62" t="n">
        <f aca="false">D6/E6</f>
        <v>2.405</v>
      </c>
      <c r="G6" s="74"/>
      <c r="H6" s="75"/>
      <c r="I6" s="74" t="n">
        <v>300</v>
      </c>
      <c r="J6" s="76" t="n">
        <f aca="false">+I6*F6</f>
        <v>721.5</v>
      </c>
      <c r="K6" s="74" t="n">
        <v>300</v>
      </c>
      <c r="L6" s="76" t="n">
        <f aca="false">+K6*F6</f>
        <v>721.5</v>
      </c>
      <c r="M6" s="74"/>
      <c r="N6" s="75"/>
      <c r="O6" s="74"/>
      <c r="P6" s="75"/>
      <c r="Q6" s="74"/>
      <c r="R6" s="76"/>
      <c r="S6" s="77"/>
      <c r="T6" s="76"/>
      <c r="U6" s="0" t="n">
        <f aca="false">+E6-(+G6+I6+K6+M6+O6+Q6)</f>
        <v>0</v>
      </c>
    </row>
    <row r="7" customFormat="false" ht="12.8" hidden="false" customHeight="false" outlineLevel="0" collapsed="false">
      <c r="A7" s="44" t="s">
        <v>84</v>
      </c>
      <c r="B7" s="0" t="n">
        <v>500</v>
      </c>
      <c r="C7" s="0" t="n">
        <v>1400</v>
      </c>
      <c r="D7" s="0" t="n">
        <f aca="false">+B7+C7*consumi!C5</f>
        <v>1620</v>
      </c>
      <c r="E7" s="0" t="n">
        <v>800</v>
      </c>
      <c r="F7" s="62" t="n">
        <f aca="false">D7/E7</f>
        <v>2.025</v>
      </c>
      <c r="G7" s="74" t="n">
        <v>500</v>
      </c>
      <c r="H7" s="75" t="n">
        <f aca="false">+G7*F7</f>
        <v>1012.5</v>
      </c>
      <c r="I7" s="74" t="n">
        <v>300</v>
      </c>
      <c r="J7" s="76" t="n">
        <f aca="false">+I7*F7</f>
        <v>607.5</v>
      </c>
      <c r="K7" s="74"/>
      <c r="L7" s="76"/>
      <c r="M7" s="74"/>
      <c r="N7" s="75"/>
      <c r="O7" s="74"/>
      <c r="P7" s="75"/>
      <c r="Q7" s="74"/>
      <c r="R7" s="76"/>
      <c r="S7" s="77"/>
      <c r="T7" s="76"/>
      <c r="U7" s="0" t="n">
        <f aca="false">+E7-(+G7+I7+K7+M7+O7+Q7)</f>
        <v>0</v>
      </c>
    </row>
    <row r="8" customFormat="false" ht="12.8" hidden="false" customHeight="false" outlineLevel="0" collapsed="false">
      <c r="A8" s="44" t="s">
        <v>85</v>
      </c>
      <c r="B8" s="0" t="n">
        <v>300</v>
      </c>
      <c r="C8" s="0" t="n">
        <v>1000</v>
      </c>
      <c r="D8" s="0" t="n">
        <f aca="false">+B8+C8*consumi!$C$4</f>
        <v>530</v>
      </c>
      <c r="E8" s="0" t="n">
        <v>240</v>
      </c>
      <c r="F8" s="62" t="n">
        <f aca="false">D8/E8</f>
        <v>2.20833333333333</v>
      </c>
      <c r="G8" s="74"/>
      <c r="H8" s="75"/>
      <c r="I8" s="74"/>
      <c r="J8" s="76"/>
      <c r="K8" s="74"/>
      <c r="L8" s="75"/>
      <c r="M8" s="74"/>
      <c r="N8" s="75"/>
      <c r="O8" s="74"/>
      <c r="P8" s="75"/>
      <c r="Q8" s="74"/>
      <c r="R8" s="75"/>
      <c r="S8" s="79" t="n">
        <v>240</v>
      </c>
      <c r="T8" s="76" t="n">
        <f aca="false">+S8*F8</f>
        <v>530</v>
      </c>
      <c r="U8" s="0" t="n">
        <f aca="false">+E8-(+G8+I8+K8+M8+O8+Q8+S8)</f>
        <v>0</v>
      </c>
    </row>
    <row r="9" customFormat="false" ht="12.8" hidden="false" customHeight="false" outlineLevel="0" collapsed="false">
      <c r="A9" s="44" t="s">
        <v>86</v>
      </c>
      <c r="B9" s="0" t="n">
        <v>100</v>
      </c>
      <c r="C9" s="0" t="n">
        <v>100</v>
      </c>
      <c r="D9" s="0" t="n">
        <f aca="false">+B9+C9*consumi!$C$4</f>
        <v>123</v>
      </c>
      <c r="E9" s="0" t="n">
        <v>300</v>
      </c>
      <c r="F9" s="62" t="n">
        <f aca="false">D9/E9</f>
        <v>0.41</v>
      </c>
      <c r="G9" s="74"/>
      <c r="H9" s="75"/>
      <c r="I9" s="74"/>
      <c r="J9" s="76"/>
      <c r="K9" s="74"/>
      <c r="L9" s="75"/>
      <c r="M9" s="74"/>
      <c r="N9" s="75"/>
      <c r="O9" s="74" t="n">
        <v>300</v>
      </c>
      <c r="P9" s="75" t="n">
        <f aca="false">+O9*F9</f>
        <v>123</v>
      </c>
      <c r="Q9" s="74"/>
      <c r="R9" s="75"/>
      <c r="S9" s="77"/>
      <c r="T9" s="76"/>
      <c r="U9" s="0" t="n">
        <f aca="false">+E9-(+G9+I9+K9+M9+O9+Q9)</f>
        <v>0</v>
      </c>
    </row>
    <row r="10" customFormat="false" ht="12.8" hidden="false" customHeight="false" outlineLevel="0" collapsed="false">
      <c r="F10" s="62"/>
      <c r="G10" s="80"/>
      <c r="H10" s="81"/>
      <c r="I10" s="80"/>
      <c r="J10" s="81"/>
      <c r="K10" s="80"/>
      <c r="L10" s="81"/>
      <c r="M10" s="80"/>
      <c r="N10" s="81"/>
      <c r="O10" s="80"/>
      <c r="P10" s="81"/>
      <c r="Q10" s="80"/>
      <c r="R10" s="81"/>
      <c r="S10" s="82"/>
      <c r="T10" s="83"/>
    </row>
    <row r="11" customFormat="false" ht="12.8" hidden="false" customHeight="false" outlineLevel="0" collapsed="false">
      <c r="A11" s="55" t="s">
        <v>72</v>
      </c>
      <c r="B11" s="55" t="n">
        <f aca="false">SUM(B4:B10)</f>
        <v>3300</v>
      </c>
      <c r="C11" s="55" t="n">
        <f aca="false">SUM(C4:C9)</f>
        <v>13500</v>
      </c>
      <c r="D11" s="55" t="n">
        <f aca="false">SUM(D4:D10)</f>
        <v>7203</v>
      </c>
      <c r="E11" s="55"/>
      <c r="F11" s="55"/>
      <c r="G11" s="84"/>
      <c r="H11" s="85" t="n">
        <f aca="false">SUM(H4:H10)</f>
        <v>1886.25</v>
      </c>
      <c r="I11" s="86"/>
      <c r="J11" s="85" t="n">
        <f aca="false">SUM(J4:J10)</f>
        <v>1805.02739726027</v>
      </c>
      <c r="K11" s="86"/>
      <c r="L11" s="85" t="n">
        <f aca="false">SUM(L4:L10)</f>
        <v>2420.77739726027</v>
      </c>
      <c r="M11" s="86"/>
      <c r="N11" s="85" t="n">
        <f aca="false">SUM(N4:N10)</f>
        <v>369.714611872146</v>
      </c>
      <c r="O11" s="86"/>
      <c r="P11" s="85" t="n">
        <f aca="false">SUM(P4:P10)</f>
        <v>123</v>
      </c>
      <c r="Q11" s="86"/>
      <c r="R11" s="85" t="n">
        <f aca="false">SUM(R4:R10)</f>
        <v>68.2305936073059</v>
      </c>
      <c r="S11" s="86"/>
      <c r="T11" s="85" t="n">
        <f aca="false">SUM(T4:T10)</f>
        <v>530</v>
      </c>
      <c r="U11" s="1"/>
      <c r="V11" s="1"/>
      <c r="W11" s="1"/>
      <c r="X11" s="1"/>
      <c r="Y11" s="1"/>
      <c r="Z11" s="1"/>
      <c r="AA11" s="1"/>
      <c r="AB11" s="1"/>
    </row>
  </sheetData>
  <mergeCells count="1">
    <mergeCell ref="G2:S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AMJ13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D5" activeCellId="0" sqref="D5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3" s="54" customFormat="true" ht="12.8" hidden="false" customHeight="false" outlineLevel="0" collapsed="false">
      <c r="C3" s="54" t="s">
        <v>87</v>
      </c>
      <c r="D3" s="54" t="s">
        <v>88</v>
      </c>
      <c r="E3" s="54" t="s">
        <v>89</v>
      </c>
      <c r="F3" s="54" t="s">
        <v>90</v>
      </c>
      <c r="G3" s="54" t="s">
        <v>91</v>
      </c>
      <c r="AMI3" s="0"/>
      <c r="AMJ3" s="0"/>
    </row>
    <row r="4" customFormat="false" ht="12.8" hidden="false" customHeight="false" outlineLevel="0" collapsed="false">
      <c r="B4" s="0" t="s">
        <v>92</v>
      </c>
      <c r="C4" s="1"/>
      <c r="D4" s="1"/>
      <c r="E4" s="1"/>
      <c r="F4" s="1"/>
      <c r="G4" s="1"/>
    </row>
    <row r="5" customFormat="false" ht="12.8" hidden="false" customHeight="false" outlineLevel="0" collapsed="false">
      <c r="A5" s="44" t="s">
        <v>42</v>
      </c>
      <c r="B5" s="45" t="n">
        <v>9000</v>
      </c>
      <c r="C5" s="1" t="n">
        <f aca="false">+'materie prime'!H13+'materie prime'!L13</f>
        <v>7123.14</v>
      </c>
      <c r="D5" s="1" t="n">
        <f aca="false">+personale!E14</f>
        <v>18802.5055268976</v>
      </c>
      <c r="E5" s="1" t="n">
        <f aca="false">+'beni strumentali'!H11</f>
        <v>1886.25</v>
      </c>
      <c r="F5" s="1" t="n">
        <f aca="false">SUM(C5:E5)</f>
        <v>27811.8955268976</v>
      </c>
      <c r="G5" s="1" t="n">
        <f aca="false">+F5/B5</f>
        <v>3.09021061409973</v>
      </c>
    </row>
    <row r="6" customFormat="false" ht="12.8" hidden="false" customHeight="false" outlineLevel="0" collapsed="false">
      <c r="A6" s="44" t="s">
        <v>43</v>
      </c>
      <c r="B6" s="45" t="n">
        <v>8200</v>
      </c>
      <c r="C6" s="1" t="n">
        <f aca="false">+'materie prime'!P13</f>
        <v>30012</v>
      </c>
      <c r="D6" s="1" t="n">
        <f aca="false">+personale!E15</f>
        <v>22330.8772826087</v>
      </c>
      <c r="E6" s="1" t="n">
        <f aca="false">+'beni strumentali'!J11</f>
        <v>1805.02739726027</v>
      </c>
      <c r="F6" s="1" t="n">
        <f aca="false">SUM(C6:E6)</f>
        <v>54147.904679869</v>
      </c>
      <c r="G6" s="1" t="n">
        <f aca="false">+F6/B6</f>
        <v>6.60340300974012</v>
      </c>
    </row>
    <row r="7" customFormat="false" ht="12.8" hidden="false" customHeight="false" outlineLevel="0" collapsed="false">
      <c r="A7" s="44" t="s">
        <v>44</v>
      </c>
      <c r="B7" s="45" t="n">
        <v>10400</v>
      </c>
      <c r="C7" s="1" t="n">
        <f aca="false">+'materie prime'!T13</f>
        <v>4268.576</v>
      </c>
      <c r="D7" s="1" t="n">
        <f aca="false">+personale!E16</f>
        <v>6035.37214443626</v>
      </c>
      <c r="E7" s="1" t="n">
        <f aca="false">+'beni strumentali'!N11</f>
        <v>369.714611872146</v>
      </c>
      <c r="F7" s="1" t="n">
        <f aca="false">SUM(C7:E7)</f>
        <v>10673.6627563084</v>
      </c>
      <c r="G7" s="1" t="n">
        <f aca="false">+F7/B7</f>
        <v>1.02631372656812</v>
      </c>
    </row>
    <row r="8" customFormat="false" ht="12.8" hidden="false" customHeight="false" outlineLevel="0" collapsed="false">
      <c r="A8" s="44" t="s">
        <v>22</v>
      </c>
      <c r="B8" s="45" t="n">
        <v>8600</v>
      </c>
      <c r="C8" s="1" t="n">
        <f aca="false">+'materie prime'!X13</f>
        <v>2440.6628</v>
      </c>
      <c r="D8" s="1" t="n">
        <f aca="false">+personale!E17</f>
        <v>8983.4193072955</v>
      </c>
      <c r="E8" s="1" t="n">
        <f aca="false">+'beni strumentali'!L11</f>
        <v>2420.77739726027</v>
      </c>
      <c r="F8" s="1" t="n">
        <f aca="false">SUM(C8:E8)</f>
        <v>13844.8595045558</v>
      </c>
      <c r="G8" s="1" t="n">
        <f aca="false">+F8/B8</f>
        <v>1.60986738425067</v>
      </c>
    </row>
    <row r="9" customFormat="false" ht="12.8" hidden="false" customHeight="false" outlineLevel="0" collapsed="false">
      <c r="A9" s="44" t="s">
        <v>45</v>
      </c>
      <c r="B9" s="45" t="n">
        <v>7200</v>
      </c>
      <c r="C9" s="1" t="n">
        <f aca="false">+'materie prime'!AJ13</f>
        <v>1383.66468</v>
      </c>
      <c r="D9" s="1" t="n">
        <f aca="false">+personale!E18</f>
        <v>4178.33456153279</v>
      </c>
      <c r="E9" s="1" t="n">
        <f aca="false">+'beni strumentali'!P11</f>
        <v>123</v>
      </c>
      <c r="F9" s="1" t="n">
        <f aca="false">SUM(C9:E9)</f>
        <v>5684.99924153279</v>
      </c>
      <c r="G9" s="1" t="n">
        <f aca="false">+F9/B9</f>
        <v>0.789583227990666</v>
      </c>
    </row>
    <row r="10" customFormat="false" ht="12.8" hidden="false" customHeight="false" outlineLevel="0" collapsed="false">
      <c r="A10" s="44" t="s">
        <v>23</v>
      </c>
      <c r="B10" s="45" t="n">
        <v>1760</v>
      </c>
      <c r="C10" s="1" t="n">
        <f aca="false">+'materie prime'!AB13</f>
        <v>3520</v>
      </c>
      <c r="D10" s="1"/>
      <c r="E10" s="1"/>
      <c r="F10" s="1" t="n">
        <f aca="false">SUM(C10:E10)</f>
        <v>3520</v>
      </c>
      <c r="G10" s="1" t="n">
        <f aca="false">+F10/B10</f>
        <v>2</v>
      </c>
    </row>
    <row r="11" customFormat="false" ht="12.8" hidden="false" customHeight="false" outlineLevel="0" collapsed="false">
      <c r="A11" s="44" t="s">
        <v>20</v>
      </c>
      <c r="B11" s="45" t="n">
        <v>5200</v>
      </c>
      <c r="C11" s="1" t="n">
        <f aca="false">+'materie prime'!AF13</f>
        <v>7800</v>
      </c>
      <c r="D11" s="1"/>
      <c r="E11" s="1" t="n">
        <f aca="false">+'beni strumentali'!R11</f>
        <v>68.2305936073059</v>
      </c>
      <c r="F11" s="1" t="n">
        <f aca="false">SUM(C11:E11)</f>
        <v>7868.23059360731</v>
      </c>
      <c r="G11" s="1" t="n">
        <f aca="false">+F11/B11</f>
        <v>1.51312126800141</v>
      </c>
    </row>
    <row r="12" customFormat="false" ht="12.8" hidden="false" customHeight="false" outlineLevel="0" collapsed="false">
      <c r="C12" s="1"/>
      <c r="D12" s="1"/>
      <c r="E12" s="1"/>
      <c r="F12" s="1"/>
      <c r="G12" s="1"/>
    </row>
    <row r="13" customFormat="false" ht="12.8" hidden="false" customHeight="false" outlineLevel="0" collapsed="false">
      <c r="B13" s="0" t="s">
        <v>93</v>
      </c>
      <c r="C13" s="1" t="n">
        <f aca="false">SUM(C5:C12)</f>
        <v>56548.04348</v>
      </c>
      <c r="D13" s="1" t="n">
        <f aca="false">SUM(D5:D12)</f>
        <v>60330.5088227708</v>
      </c>
      <c r="E13" s="1" t="n">
        <f aca="false">SUM(E5:E12)</f>
        <v>6673</v>
      </c>
      <c r="F13" s="1" t="n">
        <f aca="false">SUM(F5:F12)</f>
        <v>123551.552302771</v>
      </c>
      <c r="G13" s="1" t="n">
        <f aca="false">SUM(G5:G12)</f>
        <v>16.6324992306507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N25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pane xSplit="1" ySplit="5" topLeftCell="B6" activePane="bottomRight" state="frozen"/>
      <selection pane="topLeft" activeCell="A1" activeCellId="0" sqref="A1"/>
      <selection pane="topRight" activeCell="B1" activeCellId="0" sqref="B1"/>
      <selection pane="bottomLeft" activeCell="A6" activeCellId="0" sqref="A6"/>
      <selection pane="bottomRight" activeCell="B10" activeCellId="0" sqref="B10"/>
    </sheetView>
  </sheetViews>
  <sheetFormatPr defaultRowHeight="12.8" zeroHeight="false" outlineLevelRow="0" outlineLevelCol="0"/>
  <cols>
    <col collapsed="false" customWidth="false" hidden="false" outlineLevel="0" max="4" min="1" style="0" width="11.52"/>
    <col collapsed="false" customWidth="true" hidden="false" outlineLevel="0" max="6" min="5" style="0" width="12.66"/>
    <col collapsed="false" customWidth="false" hidden="false" outlineLevel="0" max="1025" min="7" style="0" width="11.52"/>
  </cols>
  <sheetData>
    <row r="3" s="87" customFormat="true" ht="12.8" hidden="false" customHeight="false" outlineLevel="0" collapsed="false">
      <c r="C3" s="87" t="s">
        <v>94</v>
      </c>
      <c r="D3" s="87" t="s">
        <v>95</v>
      </c>
      <c r="E3" s="87" t="s">
        <v>63</v>
      </c>
      <c r="F3" s="87" t="s">
        <v>96</v>
      </c>
      <c r="G3" s="87" t="s">
        <v>52</v>
      </c>
      <c r="H3" s="87" t="s">
        <v>97</v>
      </c>
    </row>
    <row r="4" s="88" customFormat="true" ht="12.8" hidden="false" customHeight="false" outlineLevel="0" collapsed="false">
      <c r="C4" s="88" t="n">
        <f aca="false">+personale!H8+bilancio!B13</f>
        <v>46097.5177304965</v>
      </c>
      <c r="D4" s="88" t="n">
        <f aca="false">+consumi!H8</f>
        <v>1150</v>
      </c>
      <c r="E4" s="88" t="n">
        <f aca="false">+personale!L8</f>
        <v>3138.97468863837</v>
      </c>
      <c r="F4" s="88" t="n">
        <f aca="false">+consumi!F8</f>
        <v>5380</v>
      </c>
      <c r="G4" s="88" t="n">
        <f aca="false">+personale!J8+'beni strumentali'!T11+consumi!L6</f>
        <v>7473.9991062889</v>
      </c>
      <c r="H4" s="88" t="n">
        <f aca="false">+bilancio!B15</f>
        <v>22000</v>
      </c>
    </row>
    <row r="5" customFormat="false" ht="12.8" hidden="false" customHeight="false" outlineLevel="0" collapsed="false">
      <c r="B5" s="0" t="s">
        <v>98</v>
      </c>
      <c r="C5" s="54" t="s">
        <v>99</v>
      </c>
      <c r="D5" s="54" t="s">
        <v>100</v>
      </c>
      <c r="E5" s="54" t="s">
        <v>101</v>
      </c>
      <c r="F5" s="54" t="s">
        <v>101</v>
      </c>
      <c r="G5" s="54" t="s">
        <v>99</v>
      </c>
      <c r="H5" s="54" t="s">
        <v>102</v>
      </c>
      <c r="I5" s="0" t="s">
        <v>103</v>
      </c>
    </row>
    <row r="6" customFormat="false" ht="12.8" hidden="false" customHeight="false" outlineLevel="0" collapsed="false">
      <c r="A6" s="44" t="s">
        <v>42</v>
      </c>
      <c r="B6" s="1" t="n">
        <f aca="false">+lavorazioni!F5</f>
        <v>27811.8955268976</v>
      </c>
      <c r="C6" s="1" t="n">
        <f aca="false">+$C$4*C17</f>
        <v>8238.23787876227</v>
      </c>
      <c r="D6" s="1" t="n">
        <f aca="false">+$D$4/7</f>
        <v>164.285714285714</v>
      </c>
      <c r="E6" s="1" t="n">
        <f aca="false">+$E$4/7</f>
        <v>448.424955519767</v>
      </c>
      <c r="F6" s="1" t="n">
        <f aca="false">+$F$4/7</f>
        <v>768.571428571429</v>
      </c>
      <c r="G6" s="1" t="n">
        <f aca="false">+$G$4*C17</f>
        <v>1335.70277912232</v>
      </c>
      <c r="H6" s="1" t="n">
        <f aca="false">+$H$4*E17</f>
        <v>5100.83909907258</v>
      </c>
      <c r="I6" s="1" t="n">
        <f aca="false">SUM(B6:H6)</f>
        <v>43867.9573822316</v>
      </c>
      <c r="J6" s="1"/>
      <c r="K6" s="1"/>
      <c r="L6" s="1"/>
      <c r="M6" s="1"/>
      <c r="N6" s="1"/>
    </row>
    <row r="7" customFormat="false" ht="12.8" hidden="false" customHeight="false" outlineLevel="0" collapsed="false">
      <c r="A7" s="44" t="s">
        <v>43</v>
      </c>
      <c r="B7" s="1" t="n">
        <f aca="false">+lavorazioni!F6</f>
        <v>54147.904679869</v>
      </c>
      <c r="C7" s="1" t="n">
        <f aca="false">+$C$4*C18</f>
        <v>7505.95006731674</v>
      </c>
      <c r="D7" s="1" t="n">
        <f aca="false">+$D$4/7</f>
        <v>164.285714285714</v>
      </c>
      <c r="E7" s="1" t="n">
        <f aca="false">+$E$4/7</f>
        <v>448.424955519767</v>
      </c>
      <c r="F7" s="1" t="n">
        <f aca="false">+$F$4/7</f>
        <v>768.571428571429</v>
      </c>
      <c r="G7" s="1" t="n">
        <f aca="false">+$G$4*C18</f>
        <v>1216.97364320034</v>
      </c>
      <c r="H7" s="1" t="n">
        <f aca="false">+$H$4*E18</f>
        <v>7303.10613867216</v>
      </c>
      <c r="I7" s="1" t="n">
        <f aca="false">SUM(B7:H7)</f>
        <v>71555.2166274351</v>
      </c>
      <c r="J7" s="1"/>
      <c r="K7" s="1"/>
    </row>
    <row r="8" customFormat="false" ht="12.8" hidden="false" customHeight="false" outlineLevel="0" collapsed="false">
      <c r="A8" s="44" t="s">
        <v>44</v>
      </c>
      <c r="B8" s="1" t="n">
        <f aca="false">+lavorazioni!F7</f>
        <v>10673.6627563084</v>
      </c>
      <c r="C8" s="1" t="n">
        <f aca="false">+$C$4*C19</f>
        <v>9519.74154879196</v>
      </c>
      <c r="D8" s="1" t="n">
        <f aca="false">+$D$4/7</f>
        <v>164.285714285714</v>
      </c>
      <c r="E8" s="1" t="n">
        <f aca="false">+$E$4/7</f>
        <v>448.424955519767</v>
      </c>
      <c r="F8" s="1" t="n">
        <f aca="false">+$F$4/7</f>
        <v>768.571428571429</v>
      </c>
      <c r="G8" s="1" t="n">
        <f aca="false">+$G$4*C19</f>
        <v>1543.47876698579</v>
      </c>
      <c r="H8" s="1" t="n">
        <f aca="false">+$H$4*E19</f>
        <v>3115.56013543353</v>
      </c>
      <c r="I8" s="1" t="n">
        <f aca="false">SUM(B8:H8)</f>
        <v>26233.7253058966</v>
      </c>
      <c r="J8" s="1"/>
      <c r="K8" s="1"/>
    </row>
    <row r="9" customFormat="false" ht="12.8" hidden="false" customHeight="false" outlineLevel="0" collapsed="false">
      <c r="A9" s="44" t="s">
        <v>22</v>
      </c>
      <c r="B9" s="1" t="n">
        <f aca="false">+lavorazioni!F8</f>
        <v>13844.8595045558</v>
      </c>
      <c r="C9" s="1" t="n">
        <f aca="false">+$C$4*C20</f>
        <v>7872.09397303951</v>
      </c>
      <c r="D9" s="1" t="n">
        <f aca="false">+$D$4/7</f>
        <v>164.285714285714</v>
      </c>
      <c r="E9" s="1" t="n">
        <f aca="false">+$E$4/7</f>
        <v>448.424955519767</v>
      </c>
      <c r="F9" s="1" t="n">
        <f aca="false">+$F$4/7</f>
        <v>768.571428571429</v>
      </c>
      <c r="G9" s="1" t="n">
        <f aca="false">+$G$4*C20</f>
        <v>1276.33821116133</v>
      </c>
      <c r="H9" s="1" t="n">
        <f aca="false">+$H$4*E20</f>
        <v>3481.52509936699</v>
      </c>
      <c r="I9" s="1" t="n">
        <f aca="false">SUM(B9:H9)</f>
        <v>27856.0988865005</v>
      </c>
      <c r="J9" s="1"/>
      <c r="K9" s="1"/>
    </row>
    <row r="10" customFormat="false" ht="12.8" hidden="false" customHeight="false" outlineLevel="0" collapsed="false">
      <c r="A10" s="44" t="s">
        <v>45</v>
      </c>
      <c r="B10" s="1" t="n">
        <f aca="false">+lavorazioni!F9</f>
        <v>5684.99924153279</v>
      </c>
      <c r="C10" s="1" t="n">
        <f aca="false">+$C$4*C21</f>
        <v>6590.59030300982</v>
      </c>
      <c r="D10" s="1" t="n">
        <f aca="false">+$D$4/7</f>
        <v>164.285714285714</v>
      </c>
      <c r="E10" s="1" t="n">
        <f aca="false">+$E$4/7</f>
        <v>448.424955519767</v>
      </c>
      <c r="F10" s="1" t="n">
        <f aca="false">+$F$4/7</f>
        <v>768.571428571429</v>
      </c>
      <c r="G10" s="1" t="n">
        <f aca="false">+$G$4*C21</f>
        <v>1068.56222329786</v>
      </c>
      <c r="H10" s="1" t="n">
        <f aca="false">+$H$4*E21</f>
        <v>1165.90607978802</v>
      </c>
      <c r="I10" s="1" t="n">
        <f aca="false">SUM(B10:H10)</f>
        <v>15891.3399460054</v>
      </c>
      <c r="J10" s="1"/>
      <c r="K10" s="1"/>
    </row>
    <row r="11" customFormat="false" ht="12.8" hidden="false" customHeight="false" outlineLevel="0" collapsed="false">
      <c r="A11" s="44" t="s">
        <v>23</v>
      </c>
      <c r="B11" s="1" t="n">
        <f aca="false">+lavorazioni!F10</f>
        <v>3520</v>
      </c>
      <c r="C11" s="1" t="n">
        <f aca="false">+$C$4*C22</f>
        <v>1611.03318518018</v>
      </c>
      <c r="D11" s="1" t="n">
        <f aca="false">+$D$4/7</f>
        <v>164.285714285714</v>
      </c>
      <c r="E11" s="1" t="n">
        <f aca="false">+$E$4/7</f>
        <v>448.424955519767</v>
      </c>
      <c r="F11" s="1" t="n">
        <f aca="false">+$F$4/7</f>
        <v>768.571428571429</v>
      </c>
      <c r="G11" s="1" t="n">
        <f aca="false">+$G$4*C22</f>
        <v>261.204099028365</v>
      </c>
      <c r="H11" s="1" t="n">
        <f aca="false">+$H$4*E22</f>
        <v>569.998527896364</v>
      </c>
      <c r="I11" s="1" t="n">
        <f aca="false">SUM(B11:H11)</f>
        <v>7343.51791048182</v>
      </c>
      <c r="J11" s="1"/>
      <c r="K11" s="1"/>
    </row>
    <row r="12" customFormat="false" ht="12.8" hidden="false" customHeight="false" outlineLevel="0" collapsed="false">
      <c r="A12" s="44" t="s">
        <v>20</v>
      </c>
      <c r="B12" s="1" t="n">
        <f aca="false">+lavorazioni!F11</f>
        <v>7868.23059360731</v>
      </c>
      <c r="C12" s="1" t="n">
        <f aca="false">+$C$4*C23</f>
        <v>4759.87077439598</v>
      </c>
      <c r="D12" s="1" t="n">
        <f aca="false">+$D$4/7</f>
        <v>164.285714285714</v>
      </c>
      <c r="E12" s="1" t="n">
        <f aca="false">+$E$4/7</f>
        <v>448.424955519767</v>
      </c>
      <c r="F12" s="1" t="n">
        <f aca="false">+$F$4/7</f>
        <v>768.571428571429</v>
      </c>
      <c r="G12" s="1" t="n">
        <f aca="false">+$G$4*C23</f>
        <v>771.739383492895</v>
      </c>
      <c r="H12" s="1" t="n">
        <f aca="false">+$H$4*E23</f>
        <v>1263.06491977035</v>
      </c>
      <c r="I12" s="1" t="n">
        <f aca="false">SUM(B12:H12)</f>
        <v>16044.1877696434</v>
      </c>
    </row>
    <row r="13" customFormat="false" ht="12.8" hidden="false" customHeight="false" outlineLevel="0" collapsed="false">
      <c r="B13" s="3" t="n">
        <f aca="false">SUM(B6:B12)</f>
        <v>123551.552302771</v>
      </c>
      <c r="C13" s="3" t="n">
        <f aca="false">SUM(C6:C12)</f>
        <v>46097.5177304965</v>
      </c>
      <c r="D13" s="3" t="n">
        <f aca="false">SUM(D6:D12)</f>
        <v>1150</v>
      </c>
      <c r="E13" s="3" t="n">
        <f aca="false">SUM(E6:E12)</f>
        <v>3138.97468863837</v>
      </c>
      <c r="F13" s="3" t="n">
        <f aca="false">SUM(F6:F12)</f>
        <v>5380</v>
      </c>
      <c r="G13" s="3" t="n">
        <f aca="false">SUM(G6:G12)</f>
        <v>7473.99910628889</v>
      </c>
      <c r="H13" s="3" t="n">
        <f aca="false">SUM(H6:H12)</f>
        <v>22000</v>
      </c>
    </row>
    <row r="14" customFormat="false" ht="12.8" hidden="false" customHeight="false" outlineLevel="0" collapsed="false">
      <c r="I14" s="0" t="n">
        <f aca="false">SUM(I6:I13)</f>
        <v>208792.043828194</v>
      </c>
    </row>
    <row r="15" customFormat="false" ht="12.8" hidden="false" customHeight="false" outlineLevel="0" collapsed="false">
      <c r="B15" s="89" t="s">
        <v>104</v>
      </c>
      <c r="C15" s="89"/>
      <c r="D15" s="89" t="s">
        <v>105</v>
      </c>
      <c r="E15" s="89"/>
    </row>
    <row r="16" customFormat="false" ht="12.8" hidden="false" customHeight="false" outlineLevel="0" collapsed="false">
      <c r="B16" s="80" t="s">
        <v>106</v>
      </c>
      <c r="C16" s="81" t="s">
        <v>107</v>
      </c>
      <c r="D16" s="80" t="s">
        <v>79</v>
      </c>
      <c r="E16" s="81" t="s">
        <v>107</v>
      </c>
    </row>
    <row r="17" customFormat="false" ht="12.8" hidden="false" customHeight="false" outlineLevel="0" collapsed="false">
      <c r="A17" s="44" t="s">
        <v>42</v>
      </c>
      <c r="B17" s="90" t="n">
        <f aca="false">+ricavi!B4</f>
        <v>9000</v>
      </c>
      <c r="C17" s="91" t="n">
        <f aca="false">+B17/$B$25</f>
        <v>0.178713264495631</v>
      </c>
      <c r="D17" s="82" t="n">
        <f aca="false">+ricavi!D4</f>
        <v>63000</v>
      </c>
      <c r="E17" s="91" t="n">
        <f aca="false">+D17/$D$25</f>
        <v>0.231856322685117</v>
      </c>
    </row>
    <row r="18" customFormat="false" ht="12.8" hidden="false" customHeight="false" outlineLevel="0" collapsed="false">
      <c r="A18" s="44" t="s">
        <v>43</v>
      </c>
      <c r="B18" s="90" t="n">
        <f aca="false">+ricavi!B5</f>
        <v>8200</v>
      </c>
      <c r="C18" s="91" t="n">
        <f aca="false">+B18/$B$25</f>
        <v>0.162827640984909</v>
      </c>
      <c r="D18" s="82" t="n">
        <f aca="false">+ricavi!D5</f>
        <v>90200</v>
      </c>
      <c r="E18" s="91" t="n">
        <f aca="false">+D18/$D$25</f>
        <v>0.331959369939644</v>
      </c>
    </row>
    <row r="19" customFormat="false" ht="12.8" hidden="false" customHeight="false" outlineLevel="0" collapsed="false">
      <c r="A19" s="44" t="s">
        <v>44</v>
      </c>
      <c r="B19" s="90" t="n">
        <f aca="false">+ricavi!B6</f>
        <v>10400</v>
      </c>
      <c r="C19" s="91" t="n">
        <f aca="false">+B19/$B$25</f>
        <v>0.206513105639396</v>
      </c>
      <c r="D19" s="82" t="n">
        <f aca="false">+ricavi!D6</f>
        <v>38480</v>
      </c>
      <c r="E19" s="91" t="n">
        <f aca="false">+D19/$D$25</f>
        <v>0.141616369792433</v>
      </c>
    </row>
    <row r="20" customFormat="false" ht="12.8" hidden="false" customHeight="false" outlineLevel="0" collapsed="false">
      <c r="A20" s="44" t="s">
        <v>22</v>
      </c>
      <c r="B20" s="90" t="n">
        <f aca="false">+ricavi!B7</f>
        <v>8600</v>
      </c>
      <c r="C20" s="91" t="n">
        <f aca="false">+B20/$B$25</f>
        <v>0.17077045274027</v>
      </c>
      <c r="D20" s="82" t="n">
        <f aca="false">+ricavi!D7</f>
        <v>43000</v>
      </c>
      <c r="E20" s="91" t="n">
        <f aca="false">+D20/$D$25</f>
        <v>0.158251140880318</v>
      </c>
    </row>
    <row r="21" customFormat="false" ht="12.8" hidden="false" customHeight="false" outlineLevel="0" collapsed="false">
      <c r="A21" s="44" t="s">
        <v>45</v>
      </c>
      <c r="B21" s="90" t="n">
        <f aca="false">+ricavi!B8</f>
        <v>7200</v>
      </c>
      <c r="C21" s="91" t="n">
        <f aca="false">+B21/$B$25</f>
        <v>0.142970611596505</v>
      </c>
      <c r="D21" s="82" t="n">
        <f aca="false">+ricavi!D8</f>
        <v>14400</v>
      </c>
      <c r="E21" s="91" t="n">
        <f aca="false">+D21/$D$25</f>
        <v>0.0529957308994553</v>
      </c>
    </row>
    <row r="22" customFormat="false" ht="12.8" hidden="false" customHeight="false" outlineLevel="0" collapsed="false">
      <c r="A22" s="44" t="s">
        <v>23</v>
      </c>
      <c r="B22" s="90" t="n">
        <f aca="false">+ricavi!B9</f>
        <v>1760</v>
      </c>
      <c r="C22" s="91" t="n">
        <f aca="false">+B22/$B$25</f>
        <v>0.0349483717235901</v>
      </c>
      <c r="D22" s="82" t="n">
        <f aca="false">+ricavi!D9</f>
        <v>7040</v>
      </c>
      <c r="E22" s="91" t="n">
        <f aca="false">+D22/$D$25</f>
        <v>0.0259090239952893</v>
      </c>
    </row>
    <row r="23" customFormat="false" ht="12.8" hidden="false" customHeight="false" outlineLevel="0" collapsed="false">
      <c r="A23" s="44" t="s">
        <v>20</v>
      </c>
      <c r="B23" s="92" t="n">
        <f aca="false">+ricavi!B10</f>
        <v>5200</v>
      </c>
      <c r="C23" s="93" t="n">
        <f aca="false">+B23/$B$25</f>
        <v>0.103256552819698</v>
      </c>
      <c r="D23" s="94" t="n">
        <f aca="false">+ricavi!D10</f>
        <v>15600</v>
      </c>
      <c r="E23" s="93" t="n">
        <f aca="false">+D23/$D$25</f>
        <v>0.0574120418077433</v>
      </c>
    </row>
    <row r="25" customFormat="false" ht="12.8" hidden="false" customHeight="false" outlineLevel="0" collapsed="false">
      <c r="B25" s="0" t="n">
        <f aca="false">SUM(B17:B24)</f>
        <v>50360</v>
      </c>
      <c r="D25" s="0" t="n">
        <f aca="false">SUM(D17:D24)</f>
        <v>271720</v>
      </c>
    </row>
  </sheetData>
  <mergeCells count="2">
    <mergeCell ref="B15:C15"/>
    <mergeCell ref="D15:E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2018-09-11T01:07:09Z</dcterms:created>
  <dc:creator/>
  <dc:description/>
  <dc:language>it-IT</dc:language>
  <cp:lastModifiedBy/>
  <dcterms:modified xsi:type="dcterms:W3CDTF">2018-09-27T17:30:46Z</dcterms:modified>
  <cp:revision>11</cp:revision>
  <dc:subject/>
  <dc:title/>
</cp:coreProperties>
</file>